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limentos" sheetId="1" r:id="rId3"/>
    <sheet state="visible" name="Bienestar_Serv_Bienestar" sheetId="2" r:id="rId4"/>
    <sheet state="visible" name="Enseñanza_Libreria_Jugueteria" sheetId="3" r:id="rId5"/>
    <sheet state="visible" name="Hogar_Oficina" sheetId="4" r:id="rId6"/>
    <sheet state="visible" name="Indumentaria_Accesorio" sheetId="5" r:id="rId7"/>
    <sheet state="visible" name="Medicina_Salud" sheetId="6" r:id="rId8"/>
    <sheet state="visible" name="Otros_Rubros" sheetId="7" r:id="rId9"/>
    <sheet state="visible" name="Recreacion" sheetId="8" r:id="rId10"/>
    <sheet state="visible" name="Servicios" sheetId="9" r:id="rId11"/>
    <sheet state="visible" name="Turismo" sheetId="10" r:id="rId12"/>
  </sheets>
  <definedNames/>
  <calcPr/>
</workbook>
</file>

<file path=xl/sharedStrings.xml><?xml version="1.0" encoding="utf-8"?>
<sst xmlns="http://schemas.openxmlformats.org/spreadsheetml/2006/main" count="13348" uniqueCount="4993">
  <si>
    <t>N°</t>
  </si>
  <si>
    <t>Mapa</t>
  </si>
  <si>
    <t>MZ</t>
  </si>
  <si>
    <t>Nombre de Fantasía (1)</t>
  </si>
  <si>
    <t>Grupo/COLOR (sistema)</t>
  </si>
  <si>
    <t>Rubro 2 (2)</t>
  </si>
  <si>
    <t>Dirección (3)</t>
  </si>
  <si>
    <t>Dirección (por las dudas)</t>
  </si>
  <si>
    <t>CP</t>
  </si>
  <si>
    <t>Domicilio</t>
  </si>
  <si>
    <t>Lng</t>
  </si>
  <si>
    <t>Lat</t>
  </si>
  <si>
    <t>1. Juan B Justo</t>
  </si>
  <si>
    <t>KIOSCO</t>
  </si>
  <si>
    <t>JARDÍN MATERNAL MANDALA DE LUZ</t>
  </si>
  <si>
    <t>ALIMENTOS</t>
  </si>
  <si>
    <t>ENSEÑANZA, LIBRERÍA Y JUGUETERIAS</t>
  </si>
  <si>
    <t>Kiosco</t>
  </si>
  <si>
    <t>Enseñanza</t>
  </si>
  <si>
    <t>Juan B. Justo 87</t>
  </si>
  <si>
    <t>Juan B. Justo 93</t>
  </si>
  <si>
    <t>, Mendoza , Argentina</t>
  </si>
  <si>
    <t>Juan B. Justo 87, Mendoza , Argentina</t>
  </si>
  <si>
    <t>Juan B. Justo 93, Mendoza , Argentina</t>
  </si>
  <si>
    <t>2. Arístides</t>
  </si>
  <si>
    <t>MINIMARKET</t>
  </si>
  <si>
    <t>Juan B. Justo 88</t>
  </si>
  <si>
    <t>CLOWN</t>
  </si>
  <si>
    <t>Juan B. Justo 88, Mendoza , Argentina</t>
  </si>
  <si>
    <t>10. 9 de Julio</t>
  </si>
  <si>
    <t>Arístides Villanueva 457</t>
  </si>
  <si>
    <t>Arístides Villanueva 457, Mendoza , Argentina</t>
  </si>
  <si>
    <t>UNIVERSIDAD DE MENDOZA</t>
  </si>
  <si>
    <t>Arístides Villanueva 794</t>
  </si>
  <si>
    <t>9 de July 1487</t>
  </si>
  <si>
    <t>Arístides Villanueva 794, Mendoza , Argentina</t>
  </si>
  <si>
    <t>4. San Martín</t>
  </si>
  <si>
    <t>COMPAÑÍA DE MARÍA</t>
  </si>
  <si>
    <t>Av. San Martín 2494</t>
  </si>
  <si>
    <t>Av. San Martín 2494, Mendoza , Argentina</t>
  </si>
  <si>
    <t>MOSS NAIL SPA</t>
  </si>
  <si>
    <t>COLEGIO ANDINO</t>
  </si>
  <si>
    <t>BIENES Y SERVICIOS PARA EL BIENESTAR</t>
  </si>
  <si>
    <t>Centros de Estética</t>
  </si>
  <si>
    <t>Av. San Martín 2160</t>
  </si>
  <si>
    <t>Av. San Martín 2160, Mendoza , Argentina</t>
  </si>
  <si>
    <t>9 de julio 1487, Mendoza , Argentina</t>
  </si>
  <si>
    <t>CAPACITACIÓN PARA LA MODA</t>
  </si>
  <si>
    <t>Av. San Martín 1834</t>
  </si>
  <si>
    <t>9 de July 1047</t>
  </si>
  <si>
    <t>Av. San Martín 1834, Mendoza , Argentina</t>
  </si>
  <si>
    <t>11. Peatonal</t>
  </si>
  <si>
    <t>9 de Julio 1047 local medio</t>
  </si>
  <si>
    <t>O.K.</t>
  </si>
  <si>
    <t>9 de Julio 1047, Mendoza , Argentina</t>
  </si>
  <si>
    <t>5. Las Heras</t>
  </si>
  <si>
    <t>Peatonal Sarmiento 17</t>
  </si>
  <si>
    <t>IAP CURSOS</t>
  </si>
  <si>
    <t>Av. Las Heras 345</t>
  </si>
  <si>
    <t>Peatonal Sarmiento 17, Mendoza , Argentina</t>
  </si>
  <si>
    <t>Av. Las Heras 345 local derecha</t>
  </si>
  <si>
    <t>Av. Las Heras 345, Mendoza , Argentina</t>
  </si>
  <si>
    <t>6. Colón</t>
  </si>
  <si>
    <t>UMARA</t>
  </si>
  <si>
    <t>LA VIGA</t>
  </si>
  <si>
    <t>Av. Colón 711</t>
  </si>
  <si>
    <t>INSTITUTO ESAPA</t>
  </si>
  <si>
    <t>Peatonal Sarmiento 95</t>
  </si>
  <si>
    <t>Av. Las Heras 486</t>
  </si>
  <si>
    <t>Av. Colón 711, Mendoza , Argentina</t>
  </si>
  <si>
    <t>Av. Las Heras 486, Mendoza , Argentina</t>
  </si>
  <si>
    <t>Peatonal Sarmiento 95, Mendoza , Argentina</t>
  </si>
  <si>
    <t>DEPILIFE</t>
  </si>
  <si>
    <t>Av. Colón 102</t>
  </si>
  <si>
    <t>CENTRO INTERNACIONAL DE IDIOMAS</t>
  </si>
  <si>
    <t>Av. Colón 102, Mendoza , Argentina</t>
  </si>
  <si>
    <t>Av. Colón 701</t>
  </si>
  <si>
    <t>Av. Colón 701 local derecha</t>
  </si>
  <si>
    <t>Arístides Villanueva 582</t>
  </si>
  <si>
    <t>Av. Colón 701, Mendoza , Argentina</t>
  </si>
  <si>
    <t>MOHICANO TATOO
GALERÍA CARACOL</t>
  </si>
  <si>
    <t>Arístides Villanueva 582, Mendoza , Argentina</t>
  </si>
  <si>
    <t>San Martín 1245 local l 40-41</t>
  </si>
  <si>
    <t>San Martín 1245 local l 40-41, Mendoza , Argentina</t>
  </si>
  <si>
    <t>A TARAB ACADEMIA DE BAILE</t>
  </si>
  <si>
    <t>Av. Colón 750</t>
  </si>
  <si>
    <t>KIOSKO OSVALDO</t>
  </si>
  <si>
    <t>Av. Colón 750, Mendoza , Argentina</t>
  </si>
  <si>
    <t>Arístides Villanueva 372</t>
  </si>
  <si>
    <t>TATOO Y PIRCING
GALERÍA CARACOL</t>
  </si>
  <si>
    <t>Arístides Villanueva 372 local izquierda</t>
  </si>
  <si>
    <t>San Martín 1245 local 69</t>
  </si>
  <si>
    <t>Arístides Villanueva 372, Mendoza , Argentina</t>
  </si>
  <si>
    <t>INSTITUTO DE YOGA</t>
  </si>
  <si>
    <t>San Martín 1245 local 69, Mendoza , Argentina</t>
  </si>
  <si>
    <t>Av. Colón 658</t>
  </si>
  <si>
    <t>DRUGSTORE</t>
  </si>
  <si>
    <t>DEPILACION CON HILO
GALERÍA RUFO</t>
  </si>
  <si>
    <t>Av. Colón 658, Mendoza , Argentina</t>
  </si>
  <si>
    <t>San Martín 1672 local 10</t>
  </si>
  <si>
    <t>San Martín 1672 local 10, Mendoza , Argentina</t>
  </si>
  <si>
    <t>Arístides Villanueva 202</t>
  </si>
  <si>
    <t>Arístides Villanueva 202 local izquierda</t>
  </si>
  <si>
    <t>UNIVERSIDAD DE CONGRESO</t>
  </si>
  <si>
    <t>Arístides Villanueva 202, Mendoza , Argentina</t>
  </si>
  <si>
    <t>KHANA
GALERÍA PIAZZA</t>
  </si>
  <si>
    <t>Av. Colón 90</t>
  </si>
  <si>
    <t>San Martín 1027 local 35</t>
  </si>
  <si>
    <t>Av. Colón 90, Mendoza , Argentina</t>
  </si>
  <si>
    <t>3. San Martín</t>
  </si>
  <si>
    <t>San Martín 1027 local 35, Mendoza , Argentina</t>
  </si>
  <si>
    <t>KIOSCO MINIMARKET</t>
  </si>
  <si>
    <t>Av. San Martín 903</t>
  </si>
  <si>
    <t>MONIQUE
GALERÍA RUFO</t>
  </si>
  <si>
    <t>TATUAJES
GALERÍA VÍA DEL SOL</t>
  </si>
  <si>
    <t>Av. San Martín 903, Mendoza , Argentina</t>
  </si>
  <si>
    <t>San Martín 1672 local 18</t>
  </si>
  <si>
    <t>Av. Las Heras 430 local 21</t>
  </si>
  <si>
    <t>San Martín 1672 local 18, Mendoza , Argentina</t>
  </si>
  <si>
    <t>Av. Las Heras 430 local 21, Mendoza , Argentina</t>
  </si>
  <si>
    <t>7. Espejo</t>
  </si>
  <si>
    <t>PUERTO SECO KIOSCO</t>
  </si>
  <si>
    <t>ALEGRETTO</t>
  </si>
  <si>
    <t>Av. San Martín 1578</t>
  </si>
  <si>
    <t>Av. San Martín 1578 local derecha</t>
  </si>
  <si>
    <t>Jugueterías</t>
  </si>
  <si>
    <t>FARMACIAS ALAS CIUDAD</t>
  </si>
  <si>
    <t>Av. San Martín 1578, Mendoza , Argentina</t>
  </si>
  <si>
    <t>Espejo 85</t>
  </si>
  <si>
    <t>Farmacia y perfumerias</t>
  </si>
  <si>
    <t>Juan B. Justo 71</t>
  </si>
  <si>
    <t>Espejo 85, Mendoza , Argentina</t>
  </si>
  <si>
    <t>Juan B. Justo 71 local izquierda</t>
  </si>
  <si>
    <t>Juan B. Justo 71, Mendoza , Argentina</t>
  </si>
  <si>
    <t>JUGUETERÍA
GALERÍA VÍA DEL SOL</t>
  </si>
  <si>
    <t>Av. San Martín 950</t>
  </si>
  <si>
    <t>Av. San Martín 950 local derecha</t>
  </si>
  <si>
    <t>Av. Las Heras 430 local 17</t>
  </si>
  <si>
    <t>FARMACIA MESURA</t>
  </si>
  <si>
    <t>Av. San Martín 950, Mendoza , Argentina</t>
  </si>
  <si>
    <t>Av. Las Heras 430 local 17, Mendoza , Argentina</t>
  </si>
  <si>
    <t>Juan B. Justo Esquina Paso de los Andes</t>
  </si>
  <si>
    <t>Juan B. Justo Esquina Paso de los Andes, Mendoza , Argentina</t>
  </si>
  <si>
    <t>MULTIESPACIO KIWI</t>
  </si>
  <si>
    <t>Jugueterías y Librerías</t>
  </si>
  <si>
    <t>Av. San Martín 1657</t>
  </si>
  <si>
    <t>Juan B. Justo 583</t>
  </si>
  <si>
    <t>Av. San Martín 1657, Mendoza , Argentina</t>
  </si>
  <si>
    <t>FARMACIA IOSE</t>
  </si>
  <si>
    <t>Juan B. Justo 583, Mendoza , Argentina</t>
  </si>
  <si>
    <t>Peatonal Sarmiento 56</t>
  </si>
  <si>
    <t>Peatonal Sarmiento 56, Mendoza , Argentina</t>
  </si>
  <si>
    <t>MAXI KIOSCO TIPAS</t>
  </si>
  <si>
    <t>COPIA 2</t>
  </si>
  <si>
    <t>12. Sarmiento</t>
  </si>
  <si>
    <t>FARMACIA CIVIT</t>
  </si>
  <si>
    <t>9 de Julio 1126 Dpto 15</t>
  </si>
  <si>
    <t>Av. San Martin 1875</t>
  </si>
  <si>
    <t>Belgrano y Av. Sarmiento 1095</t>
  </si>
  <si>
    <t>9 de Julio 1126 Dpto 15, Mendoza , Argentina</t>
  </si>
  <si>
    <t>Belgrano y Av. Sarmiento 1095, Mendoza , Argentina</t>
  </si>
  <si>
    <t>Av. San Martin 1875, Mendoza , Argentina</t>
  </si>
  <si>
    <t>LOLY POP</t>
  </si>
  <si>
    <t>FARMACIA MORI</t>
  </si>
  <si>
    <t>Arístides Villanueva 331</t>
  </si>
  <si>
    <t>Av. San Martín 1971</t>
  </si>
  <si>
    <t>Arístides Villanueva 331, Mendoza , Argentina</t>
  </si>
  <si>
    <t>Av. San Martín 1971, Mendoza , Argentina</t>
  </si>
  <si>
    <t>FARMACIA DEL CENTRO</t>
  </si>
  <si>
    <t>9 de July 1037</t>
  </si>
  <si>
    <t>Av. San Martín 1001</t>
  </si>
  <si>
    <t>Ayacucho 43</t>
  </si>
  <si>
    <t>Av. San Martín 1001, Mendoza , Argentina</t>
  </si>
  <si>
    <t>9 de Julio 1037, Mendoza , Argentina</t>
  </si>
  <si>
    <t>Ayacucho 43, Mendoza , Argentina</t>
  </si>
  <si>
    <t>FARMACIAS DEL ÁGUILA</t>
  </si>
  <si>
    <t>Av. San Martín 1399</t>
  </si>
  <si>
    <t>DRUGSTORE ALAMEDA</t>
  </si>
  <si>
    <t>VIAJE A LA LUNA</t>
  </si>
  <si>
    <t>Av. San Martín 1399, Mendoza , Argentina</t>
  </si>
  <si>
    <t>Arístides Villanueva 591</t>
  </si>
  <si>
    <t>Av. San Martín 2278</t>
  </si>
  <si>
    <t>Arístides Villanueva 591, Mendoza , Argentina</t>
  </si>
  <si>
    <t>Av. San Martín 2278, Mendoza , Argentina</t>
  </si>
  <si>
    <t>Av. San Martín 1303</t>
  </si>
  <si>
    <t>Av. San Martín 1303 local derecha</t>
  </si>
  <si>
    <t>Av. San Martín 1303, Mendoza , Argentina</t>
  </si>
  <si>
    <t>ARCO IRIS</t>
  </si>
  <si>
    <t>ALTO AHÍ</t>
  </si>
  <si>
    <t>Av. San Martín 1810</t>
  </si>
  <si>
    <t>Arístides Villanueva 590</t>
  </si>
  <si>
    <t>FARMACIA DEL PUENTE</t>
  </si>
  <si>
    <t>Av. San Martín 1810, Mendoza , Argentina</t>
  </si>
  <si>
    <t>Arístides Villanueva 590, Mendoza , Argentina</t>
  </si>
  <si>
    <t>Av. San Martín 1516</t>
  </si>
  <si>
    <t>PUNTO 79</t>
  </si>
  <si>
    <t>Av. San Martín 1516, Mendoza , Argentina</t>
  </si>
  <si>
    <t>LOCURA MAGIC</t>
  </si>
  <si>
    <t>Av. Las Heras 77</t>
  </si>
  <si>
    <t>Av. Las Heras 77 local izquierda</t>
  </si>
  <si>
    <t>Av. San Martín 2151</t>
  </si>
  <si>
    <t>Av. Las Heras 77, Mendoza , Argentina</t>
  </si>
  <si>
    <t>SEVILLA FARMACIA</t>
  </si>
  <si>
    <t>Av. San Martín 2151, Mendoza , Argentina</t>
  </si>
  <si>
    <t>Av. San Martín 1450</t>
  </si>
  <si>
    <t>COLISEO MINIMARKET</t>
  </si>
  <si>
    <t>Av. San Martín 1450, Mendoza , Argentina</t>
  </si>
  <si>
    <t>MULTIJUEGOS</t>
  </si>
  <si>
    <t>Av. San Martín 2290</t>
  </si>
  <si>
    <t>Av. San Martín 2290, Mendoza , Argentina</t>
  </si>
  <si>
    <t>Av. San Martín 1288</t>
  </si>
  <si>
    <t>Av. San Martín 1288, Mendoza , Argentina</t>
  </si>
  <si>
    <t>Espejo 125</t>
  </si>
  <si>
    <t>DANI</t>
  </si>
  <si>
    <t>Espejo 125, Mendoza , Argentina</t>
  </si>
  <si>
    <t>Av. San Martín 1930</t>
  </si>
  <si>
    <t>FARMACIA DE AHORRO</t>
  </si>
  <si>
    <t>Av. San Martín 1930, Mendoza , Argentina</t>
  </si>
  <si>
    <t>Av. San Martín 1659</t>
  </si>
  <si>
    <t>KIOSCO YES!</t>
  </si>
  <si>
    <t>Av. San Martín 1659, Mendoza , Argentina</t>
  </si>
  <si>
    <t>Espejo 214</t>
  </si>
  <si>
    <t>SUPER SIFER</t>
  </si>
  <si>
    <t>Espejo 214, Mendoza , Argentina</t>
  </si>
  <si>
    <t>Av. San Martín 1968</t>
  </si>
  <si>
    <t>ECONOFARMA</t>
  </si>
  <si>
    <t>Av. San Martín 1968, Mendoza , Argentina</t>
  </si>
  <si>
    <t>8. Godoy Cruz</t>
  </si>
  <si>
    <t>Av. San Martín 1818</t>
  </si>
  <si>
    <t>MINIMARKET LAS 3F</t>
  </si>
  <si>
    <t>Av. San Martín 1818, Mendoza , Argentina</t>
  </si>
  <si>
    <t>Godoy Cruz 67</t>
  </si>
  <si>
    <t>Godoy Cruz 67 local medio</t>
  </si>
  <si>
    <t>LOS MELLIS</t>
  </si>
  <si>
    <t>Godoy Cruz 67, Mendoza , Argentina</t>
  </si>
  <si>
    <t>Av. San Martín 1802</t>
  </si>
  <si>
    <t>FARMACIAS DEL PUENTE</t>
  </si>
  <si>
    <t>Av. San Martín 1802, Mendoza , Argentina</t>
  </si>
  <si>
    <t>Av. Las Heras 201</t>
  </si>
  <si>
    <t>KIOSCO LUNA</t>
  </si>
  <si>
    <t>Godoy Cruz 18</t>
  </si>
  <si>
    <t>Av. Las Heras 201, Mendoza , Argentina</t>
  </si>
  <si>
    <t>SINGUER</t>
  </si>
  <si>
    <t>Godoy Cruz 18, Mendoza , Argentina</t>
  </si>
  <si>
    <t>Av. Las Heras 676</t>
  </si>
  <si>
    <t>Av. Las Heras 676 local izquierda</t>
  </si>
  <si>
    <t>MORI FARMACIAS Y PERFUMERÍAS</t>
  </si>
  <si>
    <t>Av. Las Heras 676, Mendoza , Argentina</t>
  </si>
  <si>
    <t>9. España</t>
  </si>
  <si>
    <t>Av. Las Heras 323</t>
  </si>
  <si>
    <t>MARIO´S</t>
  </si>
  <si>
    <t>Av. Las Heras 323, Mendoza , Argentina</t>
  </si>
  <si>
    <t>España 1188</t>
  </si>
  <si>
    <t>BOGA ARTE</t>
  </si>
  <si>
    <t>España 1188, Mendoza , Argentina</t>
  </si>
  <si>
    <t>Av. Colón 122</t>
  </si>
  <si>
    <t>FARMACIA TRASANDINA</t>
  </si>
  <si>
    <t>Av. Las Heras 501</t>
  </si>
  <si>
    <t>Av. Colón 122, Mendoza , Argentina</t>
  </si>
  <si>
    <t>BRILLAT CIUDAD</t>
  </si>
  <si>
    <t>Av. Las Heras 501, Mendoza , Argentina</t>
  </si>
  <si>
    <t>Roticería, Almacenes y Afines</t>
  </si>
  <si>
    <t>Juan B. Justo 135</t>
  </si>
  <si>
    <t>Juan B. Justo 135, Mendoza , Argentina</t>
  </si>
  <si>
    <t>PAPELERÍA DEL CENTRO</t>
  </si>
  <si>
    <t>FARMACIA ESTACIÓN</t>
  </si>
  <si>
    <t>Espejo 224</t>
  </si>
  <si>
    <t>Av. Las Heras 605</t>
  </si>
  <si>
    <t>Espejo 224, Mendoza , Argentina</t>
  </si>
  <si>
    <t>Av. Las Heras 605, Mendoza , Argentina</t>
  </si>
  <si>
    <t>ALMACÉN ORIANA</t>
  </si>
  <si>
    <t>Juan B. Justo 255</t>
  </si>
  <si>
    <t>Juan B. Justo 255, Mendoza , Argentina</t>
  </si>
  <si>
    <t>CASA SEGAL</t>
  </si>
  <si>
    <t>Godoy Cruz 175</t>
  </si>
  <si>
    <t>Godoy Cruz 175 local medio</t>
  </si>
  <si>
    <t>Godoy Cruz 175, Mendoza , Argentina</t>
  </si>
  <si>
    <t>VERDULERÍA</t>
  </si>
  <si>
    <t>Juan B. Justo 347</t>
  </si>
  <si>
    <t>Juan B. Justo 347, Mendoza , Argentina</t>
  </si>
  <si>
    <t>LIBRERÍA CRISTIANA</t>
  </si>
  <si>
    <t>Godoy Cruz 260</t>
  </si>
  <si>
    <t>Godoy Cruz 260, Mendoza , Argentina</t>
  </si>
  <si>
    <t>PANADERÍA 3 ESPIGAS</t>
  </si>
  <si>
    <t>Juan B. Justo 441</t>
  </si>
  <si>
    <t>Juan B. Justo 441, Mendoza , Argentina</t>
  </si>
  <si>
    <t>SEGAL</t>
  </si>
  <si>
    <t>Godoy Cruz 82</t>
  </si>
  <si>
    <t>Godoy Cruz 82, Mendoza , Argentina</t>
  </si>
  <si>
    <t>A LA ANTIGUA</t>
  </si>
  <si>
    <t>Av. Las Heras 150</t>
  </si>
  <si>
    <t>Juan B. Justo 495</t>
  </si>
  <si>
    <t>COPIAS RIVADAVIA</t>
  </si>
  <si>
    <t>Av. Las Heras 150, Mendoza , Argentina</t>
  </si>
  <si>
    <t>Juan B. Justo 495, Mendoza , Argentina</t>
  </si>
  <si>
    <t>España 933</t>
  </si>
  <si>
    <t>España 933, Mendoza , Argentina</t>
  </si>
  <si>
    <t>FARMACIA MITRE</t>
  </si>
  <si>
    <t>MILLAN PANADERIA</t>
  </si>
  <si>
    <t>Av. Colón 361</t>
  </si>
  <si>
    <t>Juan B. Justo 717 local B</t>
  </si>
  <si>
    <t>LIBRERIA LOTFI
GALERÍA MENDOZA</t>
  </si>
  <si>
    <t>Av. Colón 361, Mendoza , Argentina</t>
  </si>
  <si>
    <t>Juan B. Justo 717 local B, Mendoza , Argentina</t>
  </si>
  <si>
    <t>San Martín 1360 local 2</t>
  </si>
  <si>
    <t>San Martín 1360 local 2, Mendoza , Argentina</t>
  </si>
  <si>
    <t>FARMACIAS DEL CENTRO</t>
  </si>
  <si>
    <t>EL TOMILLO</t>
  </si>
  <si>
    <t>Av. Colón 459</t>
  </si>
  <si>
    <t>LOCURA MAGIC
GALERÍA MENDOZA</t>
  </si>
  <si>
    <t>Av. Colón 459 local derecha</t>
  </si>
  <si>
    <t>Av. Colón 459, Mendoza , Argentina</t>
  </si>
  <si>
    <t>Juan B. Justo 724</t>
  </si>
  <si>
    <t>San Martín 1360 local 6</t>
  </si>
  <si>
    <t>Juan B. Justo 724, Mendoza , Argentina</t>
  </si>
  <si>
    <t>San Martín 1360 local 6, Mendoza , Argentina</t>
  </si>
  <si>
    <t>Av. Colón 539</t>
  </si>
  <si>
    <t>TU LUGAR DE JUEGOS
GALERÍA TOMSA</t>
  </si>
  <si>
    <t>DULCE IMPACTO</t>
  </si>
  <si>
    <t>Av. Colón 539, Mendoza , Argentina</t>
  </si>
  <si>
    <t>San Martín 1167 local v13</t>
  </si>
  <si>
    <t>Juan B. Justo 694</t>
  </si>
  <si>
    <t>San Martín 1167 local v13, Mendoza , Argentina</t>
  </si>
  <si>
    <t>Juan B. Justo 694, Mendoza , Argentina</t>
  </si>
  <si>
    <t>Av. Colón 798</t>
  </si>
  <si>
    <t>PLANETA COMICS
GALERÍA CARACOL</t>
  </si>
  <si>
    <t>Av. Colón 798, Mendoza , Argentina</t>
  </si>
  <si>
    <t>PLAKUNTOS</t>
  </si>
  <si>
    <t>San Martín 1245 local l 38-39</t>
  </si>
  <si>
    <t>San Martín 1245 local l 38-39, Mendoza , Argentina</t>
  </si>
  <si>
    <t>Juan B. Justo 584</t>
  </si>
  <si>
    <t>Juan B. Justo 584, Mendoza , Argentina</t>
  </si>
  <si>
    <t>EL CASTINADOS GAMES
GALERÍA CARACOL</t>
  </si>
  <si>
    <t>Av. Colón 324</t>
  </si>
  <si>
    <t>San Martín 1245 local 106</t>
  </si>
  <si>
    <t>LA ESQUINA</t>
  </si>
  <si>
    <t>Av. Colón 324, Mendoza , Argentina</t>
  </si>
  <si>
    <t>San Martín 1245 local 106, Mendoza , Argentina</t>
  </si>
  <si>
    <t>Juan B. Justo 1395</t>
  </si>
  <si>
    <t>Juan B. Justo 1395, Mendoza , Argentina</t>
  </si>
  <si>
    <t>FARMACIA SAN RAMÓN</t>
  </si>
  <si>
    <t>LIBRERÍA Y PAPELERÍA ANTARTIDA
PASAJE SAN MARTÍN</t>
  </si>
  <si>
    <t>Av. Colón 160</t>
  </si>
  <si>
    <t>San Martín 1136 local 1</t>
  </si>
  <si>
    <t>Av. Colón 160, Mendoza , Argentina</t>
  </si>
  <si>
    <t>San Martín 1136 local 1, Mendoza , Argentina</t>
  </si>
  <si>
    <t>LOOK FARMACITY</t>
  </si>
  <si>
    <t>EL PIGUE</t>
  </si>
  <si>
    <t>DINAMIKAS SH
PASAJE SAN MARTÍN</t>
  </si>
  <si>
    <t>Espejo 19 local derecha</t>
  </si>
  <si>
    <t>San Martín 1136 local 8</t>
  </si>
  <si>
    <t>Juan B. Justo 430</t>
  </si>
  <si>
    <t>Espejo 19 local derecha, Mendoza , Argentina</t>
  </si>
  <si>
    <t>San Martín 1136 local 8, Mendoza , Argentina</t>
  </si>
  <si>
    <t>Juan B. Justo 430, Mendoza , Argentina</t>
  </si>
  <si>
    <t>ALMACEN DE FRAGANCIAS AF</t>
  </si>
  <si>
    <t>Espejo 59</t>
  </si>
  <si>
    <t>CUSPIDE</t>
  </si>
  <si>
    <t>FERIA LA QUINTA</t>
  </si>
  <si>
    <t>Librería</t>
  </si>
  <si>
    <t>Juan B. Justo 436</t>
  </si>
  <si>
    <t>Av. San Martín 931</t>
  </si>
  <si>
    <t>Juan B. Justo 436, Mendoza , Argentina</t>
  </si>
  <si>
    <t>Espejo 59, Mendoza , Argentina</t>
  </si>
  <si>
    <t>Av. San Martín 931, Mendoza , Argentina</t>
  </si>
  <si>
    <t>DON SANTO TROVATTO</t>
  </si>
  <si>
    <t>Juan B. Justo 486</t>
  </si>
  <si>
    <t>Juan B. Justo 486, Mendoza , Argentina</t>
  </si>
  <si>
    <t>Espejo 99</t>
  </si>
  <si>
    <t>GARCÍA SANTOS LIBROS</t>
  </si>
  <si>
    <t>Espejo 99, Mendoza , Argentina</t>
  </si>
  <si>
    <t>LA VENE</t>
  </si>
  <si>
    <t>Av. San Martín 921</t>
  </si>
  <si>
    <t>Juan B. Justo 144</t>
  </si>
  <si>
    <t>FARMACIA Y PERFUMERÍA DEL PUENTE</t>
  </si>
  <si>
    <t>Av. San Martín 921, Mendoza , Argentina</t>
  </si>
  <si>
    <t>Juan B. Justo 144, Mendoza , Argentina</t>
  </si>
  <si>
    <t>Espejo 202</t>
  </si>
  <si>
    <t>Espejo 202, Mendoza , Argentina</t>
  </si>
  <si>
    <t>YENNY</t>
  </si>
  <si>
    <t>GRAN ALMACEN</t>
  </si>
  <si>
    <t>FARMACIA PATRICIA GODOY</t>
  </si>
  <si>
    <t>Av. San Martín 1087</t>
  </si>
  <si>
    <t>Juan B. Justo 162</t>
  </si>
  <si>
    <t>Godoy Cruz 382</t>
  </si>
  <si>
    <t>Av. San Martín 1087, Mendoza , Argentina</t>
  </si>
  <si>
    <t>Juan B. Justo 162, Mendoza , Argentina</t>
  </si>
  <si>
    <t>Godoy Cruz 382, Mendoza , Argentina</t>
  </si>
  <si>
    <t>MAGGOT</t>
  </si>
  <si>
    <t>LE CLUB</t>
  </si>
  <si>
    <t>General Paz 201</t>
  </si>
  <si>
    <t>LOS GORITOS</t>
  </si>
  <si>
    <t>General Paz 201, Mendoza , Argentina</t>
  </si>
  <si>
    <t>Av. San Martín 1488</t>
  </si>
  <si>
    <t>Av. San Martín 1488, Mendoza , Argentina</t>
  </si>
  <si>
    <t>España 1504</t>
  </si>
  <si>
    <t>España 1504, Mendoza , Argentina</t>
  </si>
  <si>
    <t>PAPELERÍA ENTRE RÍOS</t>
  </si>
  <si>
    <t>9 de July 1106</t>
  </si>
  <si>
    <t>FARMACIA DEL PLATA</t>
  </si>
  <si>
    <t>Av. San Martín 1126</t>
  </si>
  <si>
    <t>España 1116</t>
  </si>
  <si>
    <t>España 1116, Mendoza , Argentina</t>
  </si>
  <si>
    <t>Av. San Martín 1126, Mendoza , Argentina</t>
  </si>
  <si>
    <t>9 de Julio 1106, Mendoza , Argentina</t>
  </si>
  <si>
    <t>Av. San Martín 950 local izquierda</t>
  </si>
  <si>
    <t>PANADERIA Y CONFITERIA LA CONTINENTAL</t>
  </si>
  <si>
    <t>España 980</t>
  </si>
  <si>
    <t>España 980, Mendoza , Argentina</t>
  </si>
  <si>
    <t>9 de July 0960</t>
  </si>
  <si>
    <t>PAULINAS</t>
  </si>
  <si>
    <t>España 953</t>
  </si>
  <si>
    <t>9 de Julio 960, Mendoza , Argentina</t>
  </si>
  <si>
    <t>Av. San Martín 980</t>
  </si>
  <si>
    <t>España 953, Mendoza , Argentina</t>
  </si>
  <si>
    <t>Av. San Martín 980, Mendoza , Argentina</t>
  </si>
  <si>
    <t>ÓPTICA VISIÓN</t>
  </si>
  <si>
    <t>Óptica y Contactología</t>
  </si>
  <si>
    <t>MERCADO SANTA ANA</t>
  </si>
  <si>
    <t>9 de Julio 1055 Local 1</t>
  </si>
  <si>
    <t>9 de Julio 1055 Local 1, Mendoza , Argentina</t>
  </si>
  <si>
    <t>9 de July 1562</t>
  </si>
  <si>
    <t>COMIDAS AL PASO</t>
  </si>
  <si>
    <t>9 de Julio 1562, Mendoza , Argentina</t>
  </si>
  <si>
    <t>9 de Julio 1055 Local 3</t>
  </si>
  <si>
    <t>9 de Julio 1055 Local 3, Mendoza , Argentina</t>
  </si>
  <si>
    <t>DUCCI</t>
  </si>
  <si>
    <t>9 de July 1514</t>
  </si>
  <si>
    <t>9 de Julio 1055 Local 4</t>
  </si>
  <si>
    <t>9 de Julio 1514, Mendoza , Argentina</t>
  </si>
  <si>
    <t>9 de Julio 1055 Local 4, Mendoza , Argentina</t>
  </si>
  <si>
    <t>ÓPTICA G Y G</t>
  </si>
  <si>
    <t>9 de July 1495</t>
  </si>
  <si>
    <t>DRUGSTORE 1155</t>
  </si>
  <si>
    <t>9 de julio 1495, Mendoza , Argentina</t>
  </si>
  <si>
    <t>9 de July 1155</t>
  </si>
  <si>
    <t>LA PIRÁMIDE TEENS + KIDS</t>
  </si>
  <si>
    <t>Peatonal Sarmiento y España</t>
  </si>
  <si>
    <t>9 de julio 1155, Mendoza , Argentina</t>
  </si>
  <si>
    <t>Peatonal Sarmiento y España , Mendoza , Argentina</t>
  </si>
  <si>
    <t>EL BODEGUERO</t>
  </si>
  <si>
    <t>LA PIRÁMIDE CADENA DE ÓPTICAS</t>
  </si>
  <si>
    <t>Peatonal Sarmiento 227</t>
  </si>
  <si>
    <t>9 de July 1357</t>
  </si>
  <si>
    <t>9 de Julio 1357 local medio</t>
  </si>
  <si>
    <t>Peatonal Sarmiento 227, Mendoza , Argentina</t>
  </si>
  <si>
    <t>9 de Julio 1357, Mendoza , Argentina</t>
  </si>
  <si>
    <t>LA PIRÁMIDE</t>
  </si>
  <si>
    <t>STOP</t>
  </si>
  <si>
    <t>Av. San Martín 1498</t>
  </si>
  <si>
    <t>Av. San Martín 1498 local derecha</t>
  </si>
  <si>
    <t>9 de July 1623</t>
  </si>
  <si>
    <t>Av. San Martín 1498, Mendoza , Argentina</t>
  </si>
  <si>
    <t>9 de Julio 1623, Mendoza , Argentina</t>
  </si>
  <si>
    <t>Av. San Martín 1040</t>
  </si>
  <si>
    <t>Av. San Martín 1040 local izquierda</t>
  </si>
  <si>
    <t>Av. San Martín 1040, Mendoza , Argentina</t>
  </si>
  <si>
    <t>PEATONAL WINES</t>
  </si>
  <si>
    <t>Peatonal Sarmiento 115</t>
  </si>
  <si>
    <t>Av. San Martín 1070 local 11</t>
  </si>
  <si>
    <t>Peatonal Sarmiento 115, Mendoza , Argentina</t>
  </si>
  <si>
    <t>Av. San Martín 1070 local 11, Mendoza , Argentina</t>
  </si>
  <si>
    <t>DUCCI CADENA DE ÓPTICAS</t>
  </si>
  <si>
    <t>9 de Julio y Av. Las Heras 101</t>
  </si>
  <si>
    <t>YES!</t>
  </si>
  <si>
    <t>9 de Julio y Av. Las Heras 101, Mendoza , Argentina</t>
  </si>
  <si>
    <t>Peatonal Sarmiento 211</t>
  </si>
  <si>
    <t>Peatonal Sarmiento 211, Mendoza , Argentina</t>
  </si>
  <si>
    <t>ÓPTICA BELEL</t>
  </si>
  <si>
    <t>Av. Colón 307</t>
  </si>
  <si>
    <t>Av. Colón 307, Mendoza , Argentina</t>
  </si>
  <si>
    <t>LA BOUTIQUE DE LA GOLOSINA</t>
  </si>
  <si>
    <t>Peatonal Sarmiento 278</t>
  </si>
  <si>
    <t>Av. Colón 423</t>
  </si>
  <si>
    <t>Av. Colón 423 local izq.; med.</t>
  </si>
  <si>
    <t>Peatonal Sarmiento 278, Mendoza , Argentina</t>
  </si>
  <si>
    <t>Av. Colón 423, Mendoza , Argentina</t>
  </si>
  <si>
    <t>SOL Y VINO</t>
  </si>
  <si>
    <t>Av. Sarmiento 664</t>
  </si>
  <si>
    <t>Av. Sarmiento 664, Mendoza , Argentina</t>
  </si>
  <si>
    <t>GRANJA BENEDETTI</t>
  </si>
  <si>
    <t>Arístides Villanueva 199</t>
  </si>
  <si>
    <t>Arístides Villanueva 199, Mendoza , Argentina</t>
  </si>
  <si>
    <t>DEL SUR</t>
  </si>
  <si>
    <t>Arístides Villanueva 225</t>
  </si>
  <si>
    <t>LA PIRÁMIDE SPORTVISIÓN</t>
  </si>
  <si>
    <t>Arístides Villanueva 225 local izquierda</t>
  </si>
  <si>
    <t>Av. Colón 665</t>
  </si>
  <si>
    <t>Arístides Villanueva 225, Mendoza , Argentina</t>
  </si>
  <si>
    <t>Av. Colón 665, Mendoza , Argentina</t>
  </si>
  <si>
    <t>DUCCI ÓPTICAS</t>
  </si>
  <si>
    <t>Espejo 101</t>
  </si>
  <si>
    <t>Arístides Villanueva 625</t>
  </si>
  <si>
    <t>Espejo 101, Mendoza , Argentina</t>
  </si>
  <si>
    <t>Arístides Villanueva 625, Mendoza , Argentina</t>
  </si>
  <si>
    <t>DUCCI LENTES DE CONTACTO</t>
  </si>
  <si>
    <t>Espejo 109</t>
  </si>
  <si>
    <t>TOMAS</t>
  </si>
  <si>
    <t>Espejo 109, Mendoza , Argentina</t>
  </si>
  <si>
    <t>Arístides Villanueva 626</t>
  </si>
  <si>
    <t>TEA OPTICA</t>
  </si>
  <si>
    <t>Arístides Villanueva 626, Mendoza , Argentina</t>
  </si>
  <si>
    <t>Espejo 223</t>
  </si>
  <si>
    <t>Espejo 223, Mendoza , Argentina</t>
  </si>
  <si>
    <t>LA PALMERA</t>
  </si>
  <si>
    <t>URICOLOR</t>
  </si>
  <si>
    <t>Espejo 166</t>
  </si>
  <si>
    <t>Arístides Villanueva 394</t>
  </si>
  <si>
    <t>Espejo 166, Mendoza , Argentina</t>
  </si>
  <si>
    <t>Arístides Villanueva 394, Mendoza , Argentina</t>
  </si>
  <si>
    <t>ÓPTICA GODOY CRUZ</t>
  </si>
  <si>
    <t>Godoy Cruz 46</t>
  </si>
  <si>
    <t>CASA DE VINO</t>
  </si>
  <si>
    <t>Godoy Cruz 46, Mendoza , Argentina</t>
  </si>
  <si>
    <t>Arístides Villanueva 160</t>
  </si>
  <si>
    <t>RUS_MARI</t>
  </si>
  <si>
    <t>Arístides Villanueva 160, Mendoza , Argentina</t>
  </si>
  <si>
    <t>España 1540</t>
  </si>
  <si>
    <t>España 1540, Mendoza , Argentina</t>
  </si>
  <si>
    <t>FIAMBRERÍA LA EUROPEA</t>
  </si>
  <si>
    <t>Av. San Martín 1611</t>
  </si>
  <si>
    <t>Av. San Martín 1611, Mendoza , Argentina</t>
  </si>
  <si>
    <t>España 1102</t>
  </si>
  <si>
    <t>España 1102, Mendoza , Argentina</t>
  </si>
  <si>
    <t>EL SABOR PORTEÑO</t>
  </si>
  <si>
    <t>Av. San Martín 2093</t>
  </si>
  <si>
    <t>Av. San Martín 2093, Mendoza , Argentina</t>
  </si>
  <si>
    <t>España 1194</t>
  </si>
  <si>
    <t>España 1194, Mendoza , Argentina</t>
  </si>
  <si>
    <t>CASA MANINO</t>
  </si>
  <si>
    <t>ÓPTICA CENTRAL</t>
  </si>
  <si>
    <t>Av. San Martín 1946</t>
  </si>
  <si>
    <t>España 906</t>
  </si>
  <si>
    <t>Av. San Martín 1946, Mendoza , Argentina</t>
  </si>
  <si>
    <t>España 906, Mendoza , Argentina</t>
  </si>
  <si>
    <t>LUIS TROMBETTA ÓPTICA</t>
  </si>
  <si>
    <t>ATENAS</t>
  </si>
  <si>
    <t>España 986</t>
  </si>
  <si>
    <t>Av. San Martín 1740</t>
  </si>
  <si>
    <t>España 986, Mendoza , Argentina</t>
  </si>
  <si>
    <t>Av. San Martín 1740, Mendoza , Argentina</t>
  </si>
  <si>
    <t>PUPICENT</t>
  </si>
  <si>
    <t>España 985</t>
  </si>
  <si>
    <t>MIGUELITO</t>
  </si>
  <si>
    <t>España 985 local derecha</t>
  </si>
  <si>
    <t>España 985, Mendoza , Argentina</t>
  </si>
  <si>
    <t>Av. Las Heras 663</t>
  </si>
  <si>
    <t>Av. Las Heras 663, Mendoza , Argentina</t>
  </si>
  <si>
    <t>ÓPTICA ILUSIÓN</t>
  </si>
  <si>
    <t>España 1489</t>
  </si>
  <si>
    <t>España 1489 local izquierda</t>
  </si>
  <si>
    <t>MILAGROS</t>
  </si>
  <si>
    <t>España 1489, Mendoza , Argentina</t>
  </si>
  <si>
    <t>Av. Las Heras 676 local derecha</t>
  </si>
  <si>
    <t>SENDRA OPTICA
PASAJE SAN MARTÍN</t>
  </si>
  <si>
    <t>San Martín 1136 local 5</t>
  </si>
  <si>
    <t>San Martín 1136 local 5, Mendoza , Argentina</t>
  </si>
  <si>
    <t>LA SANDWICHERIA</t>
  </si>
  <si>
    <t>Av. Las Heras 690</t>
  </si>
  <si>
    <t>ÓPTICA SUIZA
GALERÍA VÍA DEL SOL</t>
  </si>
  <si>
    <t>Av. Las Heras 690, Mendoza , Argentina</t>
  </si>
  <si>
    <t>Av. Las Heras 430 local 16</t>
  </si>
  <si>
    <t>Av. Las Heras 430 local 16, Mendoza , Argentina</t>
  </si>
  <si>
    <t>P Y M</t>
  </si>
  <si>
    <t>Av. Colón 189</t>
  </si>
  <si>
    <t>NUDE AD ROUGE
PASAJE SAN MARTÍN</t>
  </si>
  <si>
    <t>Av. Colón 189 local derecha</t>
  </si>
  <si>
    <t>Peluquerías</t>
  </si>
  <si>
    <t>Av. Colón 189, Mendoza , Argentina</t>
  </si>
  <si>
    <t>San Martín 1136 local 36</t>
  </si>
  <si>
    <t>San Martín 1136 local 36, Mendoza , Argentina</t>
  </si>
  <si>
    <t>SOFÍA COMIDA VEGETARIANA</t>
  </si>
  <si>
    <t>STUDIO PALLUCCHIERI
GALERÍA PIAZZA</t>
  </si>
  <si>
    <t>Av. Colón 255</t>
  </si>
  <si>
    <t>San Martín 1027 local 21-22</t>
  </si>
  <si>
    <t>San Martín 1027 local 21-22, Mendoza , Argentina</t>
  </si>
  <si>
    <t>Av. Colón 255, Mendoza , Argentina</t>
  </si>
  <si>
    <t>VERONICA TOMAS</t>
  </si>
  <si>
    <t>LA VENECIANA</t>
  </si>
  <si>
    <t>Peluquerías y Centros de Estética</t>
  </si>
  <si>
    <t>Juan B. Justo 717 local C</t>
  </si>
  <si>
    <t>Av. Colón 305</t>
  </si>
  <si>
    <t>Juan B. Justo 717 local C, Mendoza , Argentina</t>
  </si>
  <si>
    <t>Av. Colón 305, Mendoza , Argentina</t>
  </si>
  <si>
    <t>PUNTO DE ENCUENTRO</t>
  </si>
  <si>
    <t>Juan B. Justo 664</t>
  </si>
  <si>
    <t>TUTTO QUESSO</t>
  </si>
  <si>
    <t>Juan B. Justo 664, Mendoza , Argentina</t>
  </si>
  <si>
    <t>Av. Colón 317</t>
  </si>
  <si>
    <t>Av. Colón 317, Mendoza , Argentina</t>
  </si>
  <si>
    <t>PASCUAL PORCO</t>
  </si>
  <si>
    <t>Peatonal Sarmiento 134</t>
  </si>
  <si>
    <t>QUESSERÉ</t>
  </si>
  <si>
    <t>Peatonal Sarmiento 134, Mendoza , Argentina</t>
  </si>
  <si>
    <t>Av. Colón 333</t>
  </si>
  <si>
    <t>OVNI LOOKERÍA</t>
  </si>
  <si>
    <t>Av. Colón 333, Mendoza , Argentina</t>
  </si>
  <si>
    <t>Arístides Villanueva 185</t>
  </si>
  <si>
    <t>Arístides Villanueva 185 local derecha</t>
  </si>
  <si>
    <t>Arístides Villanueva 185, Mendoza , Argentina</t>
  </si>
  <si>
    <t>Av. Colón 531</t>
  </si>
  <si>
    <t>MOON TATTO</t>
  </si>
  <si>
    <t>Av. Colón 531 local Izq.; med.</t>
  </si>
  <si>
    <t>Av. Colón 531, Mendoza , Argentina</t>
  </si>
  <si>
    <t>Arístides Villanueva 491</t>
  </si>
  <si>
    <t>Arístides Villanueva 491, Mendoza , Argentina</t>
  </si>
  <si>
    <t>NATURAL MARKET</t>
  </si>
  <si>
    <t>LEO HUDSON</t>
  </si>
  <si>
    <t>Av. Colón 623</t>
  </si>
  <si>
    <t>Arístides Villanueva 711</t>
  </si>
  <si>
    <t>Av. Colón 623, Mendoza , Argentina</t>
  </si>
  <si>
    <t>Arístides Villanueva 711 local derecha</t>
  </si>
  <si>
    <t>Arístides Villanueva 711, Mendoza , Argentina</t>
  </si>
  <si>
    <t>TRIGAL</t>
  </si>
  <si>
    <t>ROBERTO PALLERES</t>
  </si>
  <si>
    <t>Av. Colón 414</t>
  </si>
  <si>
    <t>Arístides Villanueva 751</t>
  </si>
  <si>
    <t>Arístides Villanueva 751 local derecha</t>
  </si>
  <si>
    <t>Av. Colón 414, Mendoza , Argentina</t>
  </si>
  <si>
    <t>Arístides Villanueva 751, Mendoza , Argentina</t>
  </si>
  <si>
    <t>AVÍCOLA LOS COMPADRES</t>
  </si>
  <si>
    <t>SUMMER BEACH</t>
  </si>
  <si>
    <t>Av. Colón 410</t>
  </si>
  <si>
    <t>Arístides Villanueva 426</t>
  </si>
  <si>
    <t>Arístides Villanueva 426 local derecha</t>
  </si>
  <si>
    <t>Av. Colón 410, Mendoza , Argentina</t>
  </si>
  <si>
    <t>Arístides Villanueva 426, Mendoza , Argentina</t>
  </si>
  <si>
    <t>PETIT MERCAT</t>
  </si>
  <si>
    <t>V.I.P.</t>
  </si>
  <si>
    <t>Av. Colón 218</t>
  </si>
  <si>
    <t>Av. Colón 218 local izquierda</t>
  </si>
  <si>
    <t>Arístides Villanueva 256</t>
  </si>
  <si>
    <t>Av. Colón 218, Mendoza , Argentina</t>
  </si>
  <si>
    <t>Arístides Villanueva 256, Mendoza , Argentina</t>
  </si>
  <si>
    <t>CYSTERNA Y BURGOS</t>
  </si>
  <si>
    <t>Espejo 165</t>
  </si>
  <si>
    <t>Arístides Villanueva 150</t>
  </si>
  <si>
    <t>Espejo 165, Mendoza , Argentina</t>
  </si>
  <si>
    <t>Arístides Villanueva 150, Mendoza , Argentina</t>
  </si>
  <si>
    <t>CIGMA GYM</t>
  </si>
  <si>
    <t>Av. San Martín 1622</t>
  </si>
  <si>
    <t>Av. San Martín 1622 local izquierda</t>
  </si>
  <si>
    <t>Espejo 231</t>
  </si>
  <si>
    <t>Av. San Martín 1622, Mendoza , Argentina</t>
  </si>
  <si>
    <t>Espejo 231, Mendoza , Argentina</t>
  </si>
  <si>
    <t>DAYLOPLAS</t>
  </si>
  <si>
    <t>WINE TOURS</t>
  </si>
  <si>
    <t>Av. San Martín 1552</t>
  </si>
  <si>
    <t>Espejo 266</t>
  </si>
  <si>
    <t>Av. San Martín 1552, Mendoza , Argentina</t>
  </si>
  <si>
    <t>Espejo 266, Mendoza , Argentina</t>
  </si>
  <si>
    <t>PELUQUERÍA RAUL OSCAR</t>
  </si>
  <si>
    <t>LA BOLOGNESA</t>
  </si>
  <si>
    <t>Av. Pellegrini 287</t>
  </si>
  <si>
    <t>Espejo 264</t>
  </si>
  <si>
    <t>Av. Pellegrini 287, Mendoza , Argentina</t>
  </si>
  <si>
    <t>Espejo 264, Mendoza , Argentina</t>
  </si>
  <si>
    <t>LA BARBERIA</t>
  </si>
  <si>
    <t>Av. San Martín 1886</t>
  </si>
  <si>
    <t>LÉRIDA</t>
  </si>
  <si>
    <t>Av. San Martín 1886, Mendoza , Argentina</t>
  </si>
  <si>
    <t>Espejo 146</t>
  </si>
  <si>
    <t>Espejo 146, Mendoza , Argentina</t>
  </si>
  <si>
    <t>JUANES PELUQUERÍA</t>
  </si>
  <si>
    <t>Av. Las Heras 264</t>
  </si>
  <si>
    <t>Av. Las Heras 264 local izquierda</t>
  </si>
  <si>
    <t>Av. Las Heras 264, Mendoza , Argentina</t>
  </si>
  <si>
    <t>Espejo 144</t>
  </si>
  <si>
    <t>Espejo 144, Mendoza , Argentina</t>
  </si>
  <si>
    <t>PELUQUERÍA UNISEX BEATRIZ TORTOSA</t>
  </si>
  <si>
    <t>Av. Colón 321</t>
  </si>
  <si>
    <t>Av. Colón 321, Mendoza , Argentina</t>
  </si>
  <si>
    <t>Espejo 90</t>
  </si>
  <si>
    <t>Espejo 90, Mendoza , Argentina</t>
  </si>
  <si>
    <t>ADRIANA LAMIZZO</t>
  </si>
  <si>
    <t>SUPER A</t>
  </si>
  <si>
    <t>Av. Colón 686</t>
  </si>
  <si>
    <t>Godoy Cruz 55</t>
  </si>
  <si>
    <t>Godoy Cruz 55 local izquierda</t>
  </si>
  <si>
    <t>Av. Colón 686, Mendoza , Argentina</t>
  </si>
  <si>
    <t>Godoy Cruz 55, Mendoza , Argentina</t>
  </si>
  <si>
    <t>WAL-VER</t>
  </si>
  <si>
    <t>PURA PIEL FOTODEPILACIÓN</t>
  </si>
  <si>
    <t>Godoy Cruz 93</t>
  </si>
  <si>
    <t>Godoy Cruz 93 local medio</t>
  </si>
  <si>
    <t>Godoy Cruz 93, Mendoza , Argentina</t>
  </si>
  <si>
    <t>Av. Colón 634</t>
  </si>
  <si>
    <t>Av. Colón 634 local izquierda</t>
  </si>
  <si>
    <t>Av. Colón 634, Mendoza , Argentina</t>
  </si>
  <si>
    <t>Godoy Cruz 178</t>
  </si>
  <si>
    <t>Godoy Cruz 178, Mendoza , Argentina</t>
  </si>
  <si>
    <t>PAU PELUQUERO</t>
  </si>
  <si>
    <t>Av. Colón 492</t>
  </si>
  <si>
    <t>Av. Colón 492, Mendoza , Argentina</t>
  </si>
  <si>
    <t>ANDRÉ Salon Masculino</t>
  </si>
  <si>
    <t>Av. Colón 360</t>
  </si>
  <si>
    <t>DULCIDEA</t>
  </si>
  <si>
    <t>Av. Colón 360, Mendoza , Argentina</t>
  </si>
  <si>
    <t>España 1612</t>
  </si>
  <si>
    <t>España 1612, Mendoza , Argentina</t>
  </si>
  <si>
    <t>BEATRICE PEINADOS</t>
  </si>
  <si>
    <t>EL PUNTO</t>
  </si>
  <si>
    <t>Espejo 163</t>
  </si>
  <si>
    <t>España y General Paz</t>
  </si>
  <si>
    <t>Espejo 163, Mendoza , Argentina</t>
  </si>
  <si>
    <t>España y General Paz , Mendoza , Argentina</t>
  </si>
  <si>
    <t>MARIO PEINADOS</t>
  </si>
  <si>
    <t>España 994</t>
  </si>
  <si>
    <t>Espejo 298</t>
  </si>
  <si>
    <t>España 994, Mendoza , Argentina</t>
  </si>
  <si>
    <t>Espejo 298, Mendoza , Argentina</t>
  </si>
  <si>
    <t>DESPENSA GABY</t>
  </si>
  <si>
    <t>España 943</t>
  </si>
  <si>
    <t>España 943 local izq.; izq.</t>
  </si>
  <si>
    <t>PELUQUEROS URBANOS</t>
  </si>
  <si>
    <t>España 943, Mendoza , Argentina</t>
  </si>
  <si>
    <t>Godoy Cruz 295</t>
  </si>
  <si>
    <t>Godoy Cruz 295, Mendoza , Argentina</t>
  </si>
  <si>
    <t>BOHEMIAN ROSE</t>
  </si>
  <si>
    <t>España 1039</t>
  </si>
  <si>
    <t>VALENTÍN</t>
  </si>
  <si>
    <t>España 1039 local derecha</t>
  </si>
  <si>
    <t>España 1022</t>
  </si>
  <si>
    <t>España 1039, Mendoza , Argentina</t>
  </si>
  <si>
    <t>España 1022, Mendoza , Argentina</t>
  </si>
  <si>
    <t>DEVI</t>
  </si>
  <si>
    <t>España 936</t>
  </si>
  <si>
    <t>España 936, Mendoza , Argentina</t>
  </si>
  <si>
    <t>España 1071</t>
  </si>
  <si>
    <t>España 1071, Mendoza , Argentina</t>
  </si>
  <si>
    <t>JOSÉ LUIS ESTILISTAS</t>
  </si>
  <si>
    <t>España 1047</t>
  </si>
  <si>
    <t>España 1047, Mendoza , Argentina</t>
  </si>
  <si>
    <t>EL VERGEL</t>
  </si>
  <si>
    <t>España 1141</t>
  </si>
  <si>
    <t>España 1057</t>
  </si>
  <si>
    <t>España 1141, Mendoza , Argentina</t>
  </si>
  <si>
    <t>España 1057, Mendoza , Argentina</t>
  </si>
  <si>
    <t>URBAÑOS
GALERÍA MENDOZA</t>
  </si>
  <si>
    <t>NATURALEZA</t>
  </si>
  <si>
    <t>San Martín 1360 local 4</t>
  </si>
  <si>
    <t>España 1161</t>
  </si>
  <si>
    <t>San Martín 1360 local 4, Mendoza , Argentina</t>
  </si>
  <si>
    <t>España 1161, Mendoza , Argentina</t>
  </si>
  <si>
    <t>TÍA PELUCA
GALERÍA MENDOZA</t>
  </si>
  <si>
    <t>San Martín 1360 local 11</t>
  </si>
  <si>
    <t>WINE UP</t>
  </si>
  <si>
    <t>San Martín 1360 local 11, Mendoza , Argentina</t>
  </si>
  <si>
    <t>España 1173</t>
  </si>
  <si>
    <t>España 1173, Mendoza , Argentina</t>
  </si>
  <si>
    <t>FLOW TATOO
GALERÍA CARACOL</t>
  </si>
  <si>
    <t>San Martín 1245 local 51</t>
  </si>
  <si>
    <t>San Martín 1245 local 51, Mendoza , Argentina</t>
  </si>
  <si>
    <t>España 1587</t>
  </si>
  <si>
    <t>España 1587, Mendoza , Argentina</t>
  </si>
  <si>
    <t>EL 72 DE LA CARACOL
GALERÍA CARACOL</t>
  </si>
  <si>
    <t>San Martín 1245 local 72</t>
  </si>
  <si>
    <t>KIOSCO
GALERÍA VÍA DEL SOL</t>
  </si>
  <si>
    <t>San Martín 1245 local 72, Mendoza , Argentina</t>
  </si>
  <si>
    <t>Av. Las Heras 430 local 2</t>
  </si>
  <si>
    <t>Av. Las Heras 430 local 2, Mendoza , Argentina</t>
  </si>
  <si>
    <t>EL 73 DE LA CARACOL
GALERÍA CARACOL</t>
  </si>
  <si>
    <t>CARNES RIZZO
MERCADO CENTRAL</t>
  </si>
  <si>
    <t>San Martín 1245 local 73</t>
  </si>
  <si>
    <t>Av. Las Heras 279 local 1</t>
  </si>
  <si>
    <t>San Martín 1245 local 73, Mendoza , Argentina</t>
  </si>
  <si>
    <t>Av. Las Heras 279 local 1, Mendoza , Argentina</t>
  </si>
  <si>
    <t>FLOW TATTOO
GALERÍA CARACOL</t>
  </si>
  <si>
    <t>TRIGAL
MERCADO CENTRAL</t>
  </si>
  <si>
    <t>San Martín 1245 local 79</t>
  </si>
  <si>
    <t>San Martín 1245 local 79, Mendoza , Argentina</t>
  </si>
  <si>
    <t>Av. Las Heras 279 local 4</t>
  </si>
  <si>
    <t>SAN LA MUERTE TATOO
GALERÍA CARACOL</t>
  </si>
  <si>
    <t>Av. Las Heras 279 local 4, Mendoza , Argentina</t>
  </si>
  <si>
    <t>San Martín 1245 local 81</t>
  </si>
  <si>
    <t>San Martín 1245 local 81, Mendoza , Argentina</t>
  </si>
  <si>
    <t>PESCADERIA MELLICO
MERCADO CENTRAL</t>
  </si>
  <si>
    <t>STUDIO KANOHI
GALERÍA CARACOL</t>
  </si>
  <si>
    <t>Av. Las Heras 279 local 6</t>
  </si>
  <si>
    <t>San Martín 1245 local 84</t>
  </si>
  <si>
    <t>Av. Las Heras 279 local 6, Mendoza , Argentina</t>
  </si>
  <si>
    <t>San Martín 1245 local 84, Mendoza , Argentina</t>
  </si>
  <si>
    <t>MERCANTABRICO
MERCADO CENTRAL</t>
  </si>
  <si>
    <t>UN APLAUSO PARA EL ASADOR</t>
  </si>
  <si>
    <t>TERCER MUNDO
GALERÍA CARACOL</t>
  </si>
  <si>
    <t>HOGAR Y OFICINA</t>
  </si>
  <si>
    <t>Av. Las Heras 279 local 7</t>
  </si>
  <si>
    <t>San Martín 1245 local 90</t>
  </si>
  <si>
    <t>Bazar y Regalos</t>
  </si>
  <si>
    <t>San Martín 1245 local 90, Mendoza , Argentina</t>
  </si>
  <si>
    <t>Juan B. Justo 481</t>
  </si>
  <si>
    <t>Av. Las Heras 279 local 7, Mendoza , Argentina</t>
  </si>
  <si>
    <t>MANTIS PARADISE
GALERÍA CARACOL</t>
  </si>
  <si>
    <t>Juan B. Justo 481, Mendoza , Argentina</t>
  </si>
  <si>
    <t>DULZURA DISTRIBUCIÓN
MERCADO CENTRAL</t>
  </si>
  <si>
    <t>San Martín 1245 local 93</t>
  </si>
  <si>
    <t>San Martín 1245 local 93, Mendoza , Argentina</t>
  </si>
  <si>
    <t>Av. Las Heras 279 local 8</t>
  </si>
  <si>
    <t>Av. Las Heras 279 local 8, Mendoza , Argentina</t>
  </si>
  <si>
    <t>LAS HUELLAS</t>
  </si>
  <si>
    <t>LA GUAPA
GALERÍA CARACOL</t>
  </si>
  <si>
    <t>AVICOLA OLMO
MERCADO CENTRAL</t>
  </si>
  <si>
    <t>San Martín 1245 local 98</t>
  </si>
  <si>
    <t>Peatonal Sarmiento 286</t>
  </si>
  <si>
    <t>Peatonal Sarmiento 286 izquierda</t>
  </si>
  <si>
    <t>Av. Las Heras 279 local 9</t>
  </si>
  <si>
    <t>San Martín 1245 local 98, Mendoza , Argentina</t>
  </si>
  <si>
    <t>Av. Las Heras 279 local 9, Mendoza , Argentina</t>
  </si>
  <si>
    <t>Peatonal Sarmiento 286, Mendoza , Argentina</t>
  </si>
  <si>
    <t>MYLHA
PASAJE SAN MARTÍN</t>
  </si>
  <si>
    <t>LOS DOS HERMANO
MERCADO CENTRAL</t>
  </si>
  <si>
    <t>San Martín 1136 local 2</t>
  </si>
  <si>
    <t>San Martín 1136 local 2, Mendoza , Argentina</t>
  </si>
  <si>
    <t>Av. Las Heras 279 local 12</t>
  </si>
  <si>
    <t>Av. Las Heras 279 local 12, Mendoza , Argentina</t>
  </si>
  <si>
    <t>RAÍCES</t>
  </si>
  <si>
    <t>LC PERFUMERIA</t>
  </si>
  <si>
    <t>Peatonal Sarmiento 162</t>
  </si>
  <si>
    <t>Perfumerías</t>
  </si>
  <si>
    <t>KEKARNE KEKARNE SA
MERCADO CENTRAL</t>
  </si>
  <si>
    <t>Peatonal Sarmiento 162, Mendoza , Argentina</t>
  </si>
  <si>
    <t>Av. Las Heras 279 local 13</t>
  </si>
  <si>
    <t>Av. Las Heras 279 local 13, Mendoza , Argentina</t>
  </si>
  <si>
    <t>9 de July 1225</t>
  </si>
  <si>
    <t>VERO GIFTS</t>
  </si>
  <si>
    <t>ANTONIO GIMENEZ
MERCADO CENTRAL</t>
  </si>
  <si>
    <t>Arístides Villanueva 180</t>
  </si>
  <si>
    <t>9 de julio 1225, Mendoza , Argentina</t>
  </si>
  <si>
    <t>Av. Las Heras 279 local 14</t>
  </si>
  <si>
    <t>Arístides Villanueva 180 local izquierda</t>
  </si>
  <si>
    <t>Av. Las Heras 279 local 14, Mendoza , Argentina</t>
  </si>
  <si>
    <t>Arístides Villanueva 180, Mendoza , Argentina</t>
  </si>
  <si>
    <t>JULERIAQUE</t>
  </si>
  <si>
    <t>PESCADOS Y MARISCOS DE CALAMAR
MERCADO CENTRAL</t>
  </si>
  <si>
    <t>Av. San Martín 1229</t>
  </si>
  <si>
    <t>Av. Las Heras 279 local 17</t>
  </si>
  <si>
    <t>Av. San Martín 1229, Mendoza , Argentina</t>
  </si>
  <si>
    <t>Av. Las Heras 279 local 17, Mendoza , Argentina</t>
  </si>
  <si>
    <t>NOVEDADES CRISTY</t>
  </si>
  <si>
    <t>Av. San Martín 1694</t>
  </si>
  <si>
    <t>AF</t>
  </si>
  <si>
    <t>DOÑA BETY
MERCADO CENTRAL</t>
  </si>
  <si>
    <t>Av. San Martín 1418</t>
  </si>
  <si>
    <t>Av. San Martín 1694, Mendoza , Argentina</t>
  </si>
  <si>
    <t>Av. Las Heras 279 local 21</t>
  </si>
  <si>
    <t>Av. San Martín 1418, Mendoza , Argentina</t>
  </si>
  <si>
    <t>Av. Las Heras 279 local 21, Mendoza , Argentina</t>
  </si>
  <si>
    <t>KE KARNE
MERCADO CENTRAL</t>
  </si>
  <si>
    <t>Av. Las Heras 248</t>
  </si>
  <si>
    <t>Av. San Martín 1682</t>
  </si>
  <si>
    <t>Av. Las Heras 279 local 22</t>
  </si>
  <si>
    <t>Av. Las Heras 248, Mendoza , Argentina</t>
  </si>
  <si>
    <t>Av. Las Heras 279 local 22, Mendoza , Argentina</t>
  </si>
  <si>
    <t>Av. San Martín 1682, Mendoza , Argentina</t>
  </si>
  <si>
    <t>MAGGOT PERFUMERÍA</t>
  </si>
  <si>
    <t>LA SANGUCHERIA
MERCADO CENTRAL</t>
  </si>
  <si>
    <t>Espejo 22</t>
  </si>
  <si>
    <t>LA CABAÑA</t>
  </si>
  <si>
    <t>Av. Las Heras 279 local 23</t>
  </si>
  <si>
    <t>Espejo 22, Mendoza , Argentina</t>
  </si>
  <si>
    <t>Av. Las Heras 279 local 23, Mendoza , Argentina</t>
  </si>
  <si>
    <t>Av. San Martín 1454</t>
  </si>
  <si>
    <t>PERFUMERÍA DESIREE</t>
  </si>
  <si>
    <t>Av. San Martín 1454, Mendoza , Argentina</t>
  </si>
  <si>
    <t>Godoy Cruz 283</t>
  </si>
  <si>
    <t>GO BAR
MERCADO CENTRAL</t>
  </si>
  <si>
    <t>Godoy Cruz 283, Mendoza , Argentina</t>
  </si>
  <si>
    <t>Av. Las Heras 279 local 26</t>
  </si>
  <si>
    <t>Av. Las Heras 279 local 26, Mendoza , Argentina</t>
  </si>
  <si>
    <t>NEW SHOP</t>
  </si>
  <si>
    <t>JOLLY DAYS</t>
  </si>
  <si>
    <t>Av. San Martín 1110</t>
  </si>
  <si>
    <t>Godoy Cruz 42</t>
  </si>
  <si>
    <t>SAN JOSÉ
MERCADO CENTRAL</t>
  </si>
  <si>
    <t>Av. San Martín 1110, Mendoza , Argentina</t>
  </si>
  <si>
    <t>Godoy Cruz 42, Mendoza , Argentina</t>
  </si>
  <si>
    <t>Av. Las Heras 279 local 27</t>
  </si>
  <si>
    <t>Av. Las Heras 279 local 27, Mendoza , Argentina</t>
  </si>
  <si>
    <t>DULZURA
MERCADO CENTRAL</t>
  </si>
  <si>
    <t>BAZAR ANDES</t>
  </si>
  <si>
    <t>Av. Las Heras 279 local 28</t>
  </si>
  <si>
    <t>Av. San Martín 1649</t>
  </si>
  <si>
    <t>Av. Las Heras 279 local 28, Mendoza , Argentina</t>
  </si>
  <si>
    <t>Av. San Martín 1649, Mendoza , Argentina</t>
  </si>
  <si>
    <t>LA CABAÑA DEL PAN
MERCADO CENTRAL</t>
  </si>
  <si>
    <t>ESQUINA DEL IMPORTADO</t>
  </si>
  <si>
    <t>Av. Las Heras 279 local 29</t>
  </si>
  <si>
    <t>Av. Las Heras 279 local 29, Mendoza , Argentina</t>
  </si>
  <si>
    <t>Av. San Martín 1697</t>
  </si>
  <si>
    <t>Av. San Martín 1697, Mendoza , Argentina</t>
  </si>
  <si>
    <t>DE UN RINCÓN DE LA BOCA
MERCADO CENTRAL</t>
  </si>
  <si>
    <t>Av. Las Heras 279 local 30</t>
  </si>
  <si>
    <t>MERCERÍA SAN JORGE</t>
  </si>
  <si>
    <t>Av. Las Heras 279 local 30, Mendoza , Argentina</t>
  </si>
  <si>
    <t>Av. San Martín 1799</t>
  </si>
  <si>
    <t>TORRENT
MERCADO CENTRAL</t>
  </si>
  <si>
    <t>Av. San Martín 1799, Mendoza , Argentina</t>
  </si>
  <si>
    <t>Av. Las Heras 279 local 32</t>
  </si>
  <si>
    <t>Av. Las Heras 279 local 32, Mendoza , Argentina</t>
  </si>
  <si>
    <t>ESSEN</t>
  </si>
  <si>
    <t>Av. San Martín 2088</t>
  </si>
  <si>
    <t>Av. Las Heras 279 local 33</t>
  </si>
  <si>
    <t>Av. Las Heras 279 local 33, Mendoza , Argentina</t>
  </si>
  <si>
    <t>Av. San Martín 2088, Mendoza , Argentina</t>
  </si>
  <si>
    <t>EL SUPERMERCADO DE LA FAMILIA</t>
  </si>
  <si>
    <t>ARGENTELAS</t>
  </si>
  <si>
    <t>Supermercados</t>
  </si>
  <si>
    <t>Juan B. Justo 391</t>
  </si>
  <si>
    <t>Av. San Martín 1712</t>
  </si>
  <si>
    <t>Juan B. Justo 391, Mendoza , Argentina</t>
  </si>
  <si>
    <t>Av. San Martín 1712, Mendoza , Argentina</t>
  </si>
  <si>
    <t>AUTOSERVICIO CONDORITO</t>
  </si>
  <si>
    <t>Arístides Villanueva 644</t>
  </si>
  <si>
    <t>TODO POR 1,99</t>
  </si>
  <si>
    <t>Arístides Villanueva 644, Mendoza , Argentina</t>
  </si>
  <si>
    <t>Av. San Martín 1718</t>
  </si>
  <si>
    <t>Av. San Martín 1718, Mendoza , Argentina</t>
  </si>
  <si>
    <t>AUTOSERVICIO ARISTIDES</t>
  </si>
  <si>
    <t>Arístides Villanueva 310</t>
  </si>
  <si>
    <t>Arístides Villanueva 310, Mendoza , Argentina</t>
  </si>
  <si>
    <t>MERCERÍA DALMA</t>
  </si>
  <si>
    <t>Av. San Martín 1726</t>
  </si>
  <si>
    <t>CARREFOUR</t>
  </si>
  <si>
    <t>Av. San Martín 1726, Mendoza , Argentina</t>
  </si>
  <si>
    <t>Av. Las Heras 316</t>
  </si>
  <si>
    <t>Av. Las Heras 316, Mendoza , Argentina</t>
  </si>
  <si>
    <t>JD IMPORTADOR AUTOSERVICIO</t>
  </si>
  <si>
    <t>Av. San Martín 1752</t>
  </si>
  <si>
    <t>Av. Las Heras 310</t>
  </si>
  <si>
    <t>Av. San Martín 1752, Mendoza , Argentina</t>
  </si>
  <si>
    <t>Av. Las Heras 310, Mendoza , Argentina</t>
  </si>
  <si>
    <t>AUTOSERVICIO FAMILIA</t>
  </si>
  <si>
    <t>ZOOM</t>
  </si>
  <si>
    <t>Av. Colón 653</t>
  </si>
  <si>
    <t>Av. Colón 653, Mendoza , Argentina</t>
  </si>
  <si>
    <t>Av. Las Heras 169</t>
  </si>
  <si>
    <t>Av. Las Heras 169, Mendoza , Argentina</t>
  </si>
  <si>
    <t>Av. Colón 324 local izquierda</t>
  </si>
  <si>
    <t>BAZAR SALAMONE</t>
  </si>
  <si>
    <t>Av. Las Heras 209</t>
  </si>
  <si>
    <t>Av. Las Heras 209, Mendoza , Argentina</t>
  </si>
  <si>
    <t>SUPERMERCADOS ESPAÑA</t>
  </si>
  <si>
    <t>España 1176</t>
  </si>
  <si>
    <t>España 1176, Mendoza , Argentina</t>
  </si>
  <si>
    <t>Av. Las Heras 351</t>
  </si>
  <si>
    <t>Av. Las Heras 351, Mendoza , Argentina</t>
  </si>
  <si>
    <t>TITARELLI</t>
  </si>
  <si>
    <t>Venta de Alimentos especializados</t>
  </si>
  <si>
    <t>Juan B. Justo 339</t>
  </si>
  <si>
    <t>Juan B. Justo 339, Mendoza , Argentina</t>
  </si>
  <si>
    <t>REGIONAL LOS ANDES</t>
  </si>
  <si>
    <t>OLIVA DI VINO</t>
  </si>
  <si>
    <t>Juan B. Justo 717 local A</t>
  </si>
  <si>
    <t>Juan B. Justo 717 local A, Mendoza , Argentina</t>
  </si>
  <si>
    <t>REGIONALES CUYO</t>
  </si>
  <si>
    <t>Av. Las Heras 555</t>
  </si>
  <si>
    <t>HERBALIFE</t>
  </si>
  <si>
    <t>9 de Julio 1126 Dpto 19</t>
  </si>
  <si>
    <t>9 de Julio 1126 Dpto 19, Mendoza , Argentina</t>
  </si>
  <si>
    <t>Av. Las Heras 555, Mendoza , Argentina</t>
  </si>
  <si>
    <t>GO BAR</t>
  </si>
  <si>
    <t>NOWAK</t>
  </si>
  <si>
    <t>9 de Julio y Peatonal Sarmiento</t>
  </si>
  <si>
    <t>Av. Las Heras 661</t>
  </si>
  <si>
    <t>Av. Las Heras 661 local derecha</t>
  </si>
  <si>
    <t>9 de Julio y Peatonal Sarmiento , Mendoza , Argentina</t>
  </si>
  <si>
    <t>Av. Las Heras 661, Mendoza , Argentina</t>
  </si>
  <si>
    <t>CAMOMILA</t>
  </si>
  <si>
    <t>ENTRE DOS</t>
  </si>
  <si>
    <t>Av. Las Heras 699</t>
  </si>
  <si>
    <t>Av. Las Heras 699 local izquierda</t>
  </si>
  <si>
    <t>Av. Las Heras 699, Mendoza , Argentina</t>
  </si>
  <si>
    <t>9 de July 0926</t>
  </si>
  <si>
    <t>AUGUSTO REGALERÍA</t>
  </si>
  <si>
    <t>Av. Las Heras 256</t>
  </si>
  <si>
    <t>Av. Las Heras 256, Mendoza , Argentina</t>
  </si>
  <si>
    <t>9 de Julio 926, Mendoza , Argentina</t>
  </si>
  <si>
    <t>BAZAR PLAST</t>
  </si>
  <si>
    <t>Av. Las Heras 194</t>
  </si>
  <si>
    <t>Peatonal Sarmiento 103</t>
  </si>
  <si>
    <t>Av. Las Heras 194, Mendoza , Argentina</t>
  </si>
  <si>
    <t>Peatonal Sarmiento 103, Mendoza , Argentina</t>
  </si>
  <si>
    <t>DOS GIRASOLES</t>
  </si>
  <si>
    <t>Av. Las Heras 84</t>
  </si>
  <si>
    <t>Av. Las Heras 84, Mendoza , Argentina</t>
  </si>
  <si>
    <t>Perú y Av. Sarmiento 1090</t>
  </si>
  <si>
    <t>Perú y Av. Sarmiento 1090, Mendoza , Argentina</t>
  </si>
  <si>
    <t>MAXI CASA</t>
  </si>
  <si>
    <t>Av. Colón 283</t>
  </si>
  <si>
    <t>SPARTACUS</t>
  </si>
  <si>
    <t>Av. Colón 283, Mendoza , Argentina</t>
  </si>
  <si>
    <t>Arístides Villanueva 202 local derecha</t>
  </si>
  <si>
    <t>FLORES CARRASCO JARDINERÍA GARDEN</t>
  </si>
  <si>
    <t>Av. Colón 702</t>
  </si>
  <si>
    <t>Av. Colón 702, Mendoza , Argentina</t>
  </si>
  <si>
    <t>TARTUFO</t>
  </si>
  <si>
    <t>Av. Las Heras 17</t>
  </si>
  <si>
    <t>Av. Las Heras 17, Mendoza , Argentina</t>
  </si>
  <si>
    <t>Av. Colón 314</t>
  </si>
  <si>
    <t>Av. Colón 314, Mendoza , Argentina</t>
  </si>
  <si>
    <t>SIMPLE</t>
  </si>
  <si>
    <t>Av. Las Heras 79</t>
  </si>
  <si>
    <t>RADHIKA</t>
  </si>
  <si>
    <t>Av. Las Heras 79, Mendoza , Argentina</t>
  </si>
  <si>
    <t>Espejo 29</t>
  </si>
  <si>
    <t>Espejo 29 local izq.; izq.</t>
  </si>
  <si>
    <t>Espejo 29, Mendoza , Argentina</t>
  </si>
  <si>
    <t>CHOCOLEZZA</t>
  </si>
  <si>
    <t>Av. Las Heras 435</t>
  </si>
  <si>
    <t>Av. Las Heras 435, Mendoza , Argentina</t>
  </si>
  <si>
    <t>PLASTIMUNDO</t>
  </si>
  <si>
    <t>LA CABAÑA CHOCOLATE</t>
  </si>
  <si>
    <t>Godoy Cruz 344</t>
  </si>
  <si>
    <t>Av. Las Heras 499</t>
  </si>
  <si>
    <t>Godoy Cruz 344, Mendoza , Argentina</t>
  </si>
  <si>
    <t>Av. Las Heras 499, Mendoza , Argentina</t>
  </si>
  <si>
    <t>PLÁSTICOS FH</t>
  </si>
  <si>
    <t>FAMILIA DEL OLMO</t>
  </si>
  <si>
    <t>Godoy Cruz 290</t>
  </si>
  <si>
    <t>Av. Colón 687</t>
  </si>
  <si>
    <t>Godoy Cruz 290, Mendoza , Argentina</t>
  </si>
  <si>
    <t>Av. Colón 687, Mendoza , Argentina</t>
  </si>
  <si>
    <t>?</t>
  </si>
  <si>
    <t>PLÁSTICOS GODOY CRUZ</t>
  </si>
  <si>
    <t>Av. Colón 378</t>
  </si>
  <si>
    <t>Av. Colón 378 local izquierda</t>
  </si>
  <si>
    <t>Godoy Cruz 280</t>
  </si>
  <si>
    <t>Av. Colón 378, Mendoza , Argentina</t>
  </si>
  <si>
    <t>Godoy Cruz 280, Mendoza , Argentina</t>
  </si>
  <si>
    <t>FRESH POINT</t>
  </si>
  <si>
    <t>Av. Colón 218 local derecha</t>
  </si>
  <si>
    <t>Godoy Cruz 76</t>
  </si>
  <si>
    <t>Godoy Cruz 76, Mendoza , Argentina</t>
  </si>
  <si>
    <t>NATURA VIDA</t>
  </si>
  <si>
    <t>Godoy Cruz 98</t>
  </si>
  <si>
    <t>Godoy Cruz 98, Mendoza , Argentina</t>
  </si>
  <si>
    <t>MERYLAND FLORES</t>
  </si>
  <si>
    <t>Montevideo 203</t>
  </si>
  <si>
    <t>VINO A LA CARPA
GALERÍA TOMSA</t>
  </si>
  <si>
    <t>Montevideo 203, Mendoza , Argentina</t>
  </si>
  <si>
    <t>San Martín 1167 local s66m</t>
  </si>
  <si>
    <t>San Martín 1167 local s66m, Mendoza , Argentina</t>
  </si>
  <si>
    <t>PLÁSTICO LA PIRÁMIDE</t>
  </si>
  <si>
    <t>España 1489 local derecha</t>
  </si>
  <si>
    <t>SUPLEMENTOS.COM
GALERÍA KOLTON</t>
  </si>
  <si>
    <t>San Martín 1355 local 11</t>
  </si>
  <si>
    <t>San Martín 1355 local 11, Mendoza , Argentina</t>
  </si>
  <si>
    <t>CALIRI REGALOS
PASAJE SAN MARTÍN</t>
  </si>
  <si>
    <t>HERBALIFE
GALERÍA RUFO</t>
  </si>
  <si>
    <t>San Martín 1136 local 29</t>
  </si>
  <si>
    <t>San Martín 1672 local 14</t>
  </si>
  <si>
    <t>San Martín 1136 local 29, Mendoza , Argentina</t>
  </si>
  <si>
    <t>San Martín 1672 local 14, Mendoza , Argentina</t>
  </si>
  <si>
    <t>REGALERÍA
PASAJE SAN MARTÍN</t>
  </si>
  <si>
    <t>FICARRA
MERCADO CENTRAL</t>
  </si>
  <si>
    <t>San Martín 1136 local 34</t>
  </si>
  <si>
    <t>Av. Las Heras 279 local 34</t>
  </si>
  <si>
    <t>San Martín 1136 local 34, Mendoza , Argentina</t>
  </si>
  <si>
    <t>Av. Las Heras 279 local 34, Mendoza , Argentina</t>
  </si>
  <si>
    <t>ORTEGA LANAS</t>
  </si>
  <si>
    <t>Blanco</t>
  </si>
  <si>
    <t>EL TULIPÁN
MERCADO CENTRAL</t>
  </si>
  <si>
    <t>Av. Las Heras 279 local 35</t>
  </si>
  <si>
    <t>Av. Las Heras 279 local 35, Mendoza , Argentina</t>
  </si>
  <si>
    <t>ESPACIO VERDE
MERCADO CENTRAL</t>
  </si>
  <si>
    <t>Av. Las Heras 279 local 36</t>
  </si>
  <si>
    <t>Av. Las Heras 279 local 36, Mendoza , Argentina</t>
  </si>
  <si>
    <t>9 de July 1627</t>
  </si>
  <si>
    <t>9 de Julio 1627, Mendoza , Argentina</t>
  </si>
  <si>
    <t>CRISA TELAS</t>
  </si>
  <si>
    <t>Av. San Martín 1640</t>
  </si>
  <si>
    <t>Av. San Martín 1640, Mendoza , Argentina</t>
  </si>
  <si>
    <t>GLASS</t>
  </si>
  <si>
    <t>Av. San Martín 1566</t>
  </si>
  <si>
    <t>Av. San Martín 1566, Mendoza , Argentina</t>
  </si>
  <si>
    <t>TEXTIL GASSIBE</t>
  </si>
  <si>
    <t>Av. San Martín 1787</t>
  </si>
  <si>
    <t>Av. San Martín 1787, Mendoza , Argentina</t>
  </si>
  <si>
    <t>EL DEDAL</t>
  </si>
  <si>
    <t>Av. San Martín 1720</t>
  </si>
  <si>
    <t>Av. San Martín 1720, Mendoza , Argentina</t>
  </si>
  <si>
    <t>TEXTIL CENTER</t>
  </si>
  <si>
    <t>Av. San Martín 1728</t>
  </si>
  <si>
    <t>Av. San Martín 1728, Mendoza , Argentina</t>
  </si>
  <si>
    <t>LA TIJERA</t>
  </si>
  <si>
    <t>Av. San Martín 1744</t>
  </si>
  <si>
    <t>Av. San Martín 1744, Mendoza , Argentina</t>
  </si>
  <si>
    <t>DOÑA TELA</t>
  </si>
  <si>
    <t>Av. San Martín 1766</t>
  </si>
  <si>
    <t>Av. San Martín 1766, Mendoza , Argentina</t>
  </si>
  <si>
    <t>SAADA CASA DE TELAS</t>
  </si>
  <si>
    <t>Av. San Martín 1786</t>
  </si>
  <si>
    <t>Av. San Martín 1786, Mendoza , Argentina</t>
  </si>
  <si>
    <t>KIARA</t>
  </si>
  <si>
    <t>Godoy Cruz 161</t>
  </si>
  <si>
    <t>Godoy Cruz 161, Mendoza , Argentina</t>
  </si>
  <si>
    <t>TELAS Y TELITAS
GALERÍA RUFO</t>
  </si>
  <si>
    <t>San Martín 1672 local 1</t>
  </si>
  <si>
    <t>San Martín 1672 local 1, Mendoza , Argentina</t>
  </si>
  <si>
    <t>BE HOUSE</t>
  </si>
  <si>
    <t>Decoración</t>
  </si>
  <si>
    <t>Juan B. Justo 459</t>
  </si>
  <si>
    <t>Juan B. Justo 459, Mendoza , Argentina</t>
  </si>
  <si>
    <t>#¡REF!</t>
  </si>
  <si>
    <t>INDUMENTARIA Y ACCESORIOS</t>
  </si>
  <si>
    <t>Accesorios</t>
  </si>
  <si>
    <t>LA ESTRELLA</t>
  </si>
  <si>
    <t>Juan B. Justo 98</t>
  </si>
  <si>
    <t>Juan B. Justo 98, Mendoza , Argentina</t>
  </si>
  <si>
    <t>9 de July 1116</t>
  </si>
  <si>
    <t>NEO DESING</t>
  </si>
  <si>
    <t>9 de Julio 1116, Mendoza , Argentina</t>
  </si>
  <si>
    <t>Arístides Villanueva 436</t>
  </si>
  <si>
    <t>Arístides Villanueva 436, Mendoza , Argentina</t>
  </si>
  <si>
    <t>RIEL AMERICANO</t>
  </si>
  <si>
    <t>Arístides Villanueva 122</t>
  </si>
  <si>
    <t>9 de July 1035</t>
  </si>
  <si>
    <t>Arístides Villanueva 122, Mendoza , Argentina</t>
  </si>
  <si>
    <t>9 de Julio 1035, Mendoza , Argentina</t>
  </si>
  <si>
    <t>SIMPLY</t>
  </si>
  <si>
    <t>Av. San Martín 1457</t>
  </si>
  <si>
    <t>Av. San Martín 1457, Mendoza , Argentina</t>
  </si>
  <si>
    <t>Arístides Villanueva 138</t>
  </si>
  <si>
    <t>Arístides Villanueva 138, Mendoza , Argentina</t>
  </si>
  <si>
    <t>Av. San Martín 1569</t>
  </si>
  <si>
    <t>Av. San Martín 1569, Mendoza , Argentina</t>
  </si>
  <si>
    <t>BANCO PATAGÓNIA</t>
  </si>
  <si>
    <t>Av. San Martín 1187</t>
  </si>
  <si>
    <t>ARTESANÍAS</t>
  </si>
  <si>
    <t>Av. Colón 501</t>
  </si>
  <si>
    <t>Av. San Martín 1646</t>
  </si>
  <si>
    <t>Av. San Martín 1187, Mendoza , Argentina</t>
  </si>
  <si>
    <t>Av. San Martín 1646 local derecha</t>
  </si>
  <si>
    <t>Av. San Martín 1646, Mendoza , Argentina</t>
  </si>
  <si>
    <t>EL BARRAL</t>
  </si>
  <si>
    <t>Av. San Martín 1323</t>
  </si>
  <si>
    <t>Av. San Martín 1635</t>
  </si>
  <si>
    <t>Av. San Martín 1323, Mendoza , Argentina</t>
  </si>
  <si>
    <t>Av. San Martín 1635 local derecha</t>
  </si>
  <si>
    <t>Av. San Martín 1635, Mendoza , Argentina</t>
  </si>
  <si>
    <t>BELIEVE</t>
  </si>
  <si>
    <t>MERCERÍA Y REGALERÍA KAHLE</t>
  </si>
  <si>
    <t>Av. San Martín 1529</t>
  </si>
  <si>
    <t>Av. San Martín 1793</t>
  </si>
  <si>
    <t>Av. San Martín 1529, Mendoza , Argentina</t>
  </si>
  <si>
    <t>Av. San Martín 1793, Mendoza , Argentina</t>
  </si>
  <si>
    <t>BRAUSTEIN TEXTIL</t>
  </si>
  <si>
    <t>Av. San Martín 1654</t>
  </si>
  <si>
    <t>Av. San Martín 1801</t>
  </si>
  <si>
    <t>Espejo 47</t>
  </si>
  <si>
    <t>Av. San Martín 1654, Mendoza , Argentina</t>
  </si>
  <si>
    <t>Av. San Martín 1801, Mendoza , Argentina</t>
  </si>
  <si>
    <t>NOVEDADES - BIJOUTERIE Y ALGO MÁS</t>
  </si>
  <si>
    <t>MARCOS CUADROS</t>
  </si>
  <si>
    <t>Av. San Martín 1601</t>
  </si>
  <si>
    <t>Av. San Martín 2112</t>
  </si>
  <si>
    <t>España 1159</t>
  </si>
  <si>
    <t>Av. San Martín 2112, Mendoza , Argentina</t>
  </si>
  <si>
    <t>Av. San Martín 1601, Mendoza , Argentina</t>
  </si>
  <si>
    <t>DESIGUAL</t>
  </si>
  <si>
    <t>Av. Las Heras 157</t>
  </si>
  <si>
    <t>9 de July 0932</t>
  </si>
  <si>
    <t>Av. Las Heras 157, Mendoza , Argentina</t>
  </si>
  <si>
    <t>CASA DE MEDIAS</t>
  </si>
  <si>
    <t>Av. Las Heras 277</t>
  </si>
  <si>
    <t>9 de July 1159</t>
  </si>
  <si>
    <t>TUCCI BLANCO TELAS</t>
  </si>
  <si>
    <t>Av. Las Heras 277, Mendoza , Argentina</t>
  </si>
  <si>
    <t>Av. San Martín 1736</t>
  </si>
  <si>
    <t>Av. San Martín 1736, Mendoza , Argentina</t>
  </si>
  <si>
    <t>8Q</t>
  </si>
  <si>
    <t>ESTILO DECORACIÓN INTEGRAL</t>
  </si>
  <si>
    <t>9 de July 1165</t>
  </si>
  <si>
    <t>Av. San Martín 1788</t>
  </si>
  <si>
    <t>Av. San Martín 1788 local derecha</t>
  </si>
  <si>
    <t>Av. San Martín 1788, Mendoza , Argentina</t>
  </si>
  <si>
    <t>FLORENTINO</t>
  </si>
  <si>
    <t>ASPEN LUMIÉRE</t>
  </si>
  <si>
    <t>Av. Las Heras 520</t>
  </si>
  <si>
    <t>Av. Colón 675</t>
  </si>
  <si>
    <t>España 1142</t>
  </si>
  <si>
    <t>Av. Las Heras 520, Mendoza , Argentina</t>
  </si>
  <si>
    <t>Av. Colón 675, Mendoza , Argentina</t>
  </si>
  <si>
    <t>ANDRÉS MERINO PINTIURERÍAS</t>
  </si>
  <si>
    <t>Av. Las Heras 14</t>
  </si>
  <si>
    <t>Av. Colón 604</t>
  </si>
  <si>
    <t>Av. Las Heras 14, Mendoza , Argentina</t>
  </si>
  <si>
    <t>Av. Colón 604, Mendoza , Argentina</t>
  </si>
  <si>
    <t>MUNISH</t>
  </si>
  <si>
    <t>ANDRÉS MERINO DECORACIONES</t>
  </si>
  <si>
    <t>Av. Colón 185</t>
  </si>
  <si>
    <t>Peatonal Sarmiento 75</t>
  </si>
  <si>
    <t>Godoy Cruz 207</t>
  </si>
  <si>
    <t>Av. Colón 185, Mendoza , Argentina</t>
  </si>
  <si>
    <t>Godoy Cruz 207, Mendoza , Argentina</t>
  </si>
  <si>
    <t>DISEÑO HOGAR</t>
  </si>
  <si>
    <t>Espejo 78</t>
  </si>
  <si>
    <t>España 1220</t>
  </si>
  <si>
    <t>Espejo 78, Mendoza , Argentina</t>
  </si>
  <si>
    <t>España 1220, Mendoza , Argentina</t>
  </si>
  <si>
    <t>DE CAMPO</t>
  </si>
  <si>
    <t>Godoy Cruz 111</t>
  </si>
  <si>
    <t>España 948</t>
  </si>
  <si>
    <t>Godoy Cruz 111, Mendoza , Argentina</t>
  </si>
  <si>
    <t>España 948 local izquierda</t>
  </si>
  <si>
    <t>España 948, Mendoza , Argentina</t>
  </si>
  <si>
    <t>PLANETA ARABE
GALERÍA TOMSA</t>
  </si>
  <si>
    <t>España 973</t>
  </si>
  <si>
    <t>San Martín 1167 local s29</t>
  </si>
  <si>
    <t>España 973, Mendoza , Argentina</t>
  </si>
  <si>
    <t>San Martín 1167 local s29, Mendoza , Argentina</t>
  </si>
  <si>
    <t>GOLD SILVER
GALERÍA TOMSA</t>
  </si>
  <si>
    <t>MUSIMUNDO</t>
  </si>
  <si>
    <t>San Martín 1167 local v11</t>
  </si>
  <si>
    <t>Electrodomésticos</t>
  </si>
  <si>
    <t>Av. San Martín 1335</t>
  </si>
  <si>
    <t>San Martín 1167 local v11, Mendoza , Argentina</t>
  </si>
  <si>
    <t>Av. San Martín 1335, Mendoza , Argentina</t>
  </si>
  <si>
    <t>WOLLA ANTIQUE
GALERÍA TOMSA</t>
  </si>
  <si>
    <t>San Martín 1167 local v5</t>
  </si>
  <si>
    <t>San Martín 1167 local v5, Mendoza , Argentina</t>
  </si>
  <si>
    <t>Av. San Martín 1549</t>
  </si>
  <si>
    <t>Av. San Martín 1549, Mendoza , Argentina</t>
  </si>
  <si>
    <t>BIG-BEN
GALERÍA TOMSA</t>
  </si>
  <si>
    <t>San Martín 1167 local v1d</t>
  </si>
  <si>
    <t>RIBEIRO</t>
  </si>
  <si>
    <t>San Martín 1167 local v1d, Mendoza , Argentina</t>
  </si>
  <si>
    <t>Av. San Martín 1525</t>
  </si>
  <si>
    <t>Av. San Martín 1525, Mendoza , Argentina</t>
  </si>
  <si>
    <t>MA.GI.CA
GALERÍA TOMSA</t>
  </si>
  <si>
    <t>San Martín 1167 local a12m</t>
  </si>
  <si>
    <t>San Martín 1167 local a12m, Mendoza , Argentina</t>
  </si>
  <si>
    <t>GARBARINO</t>
  </si>
  <si>
    <t>Av. San Martín 1252</t>
  </si>
  <si>
    <t>GATCHER
GALERÍA CARACOL</t>
  </si>
  <si>
    <t>Av. San Martín 1252, Mendoza , Argentina</t>
  </si>
  <si>
    <t>San Martín 1245 local 66</t>
  </si>
  <si>
    <t>San Martín 1245 local 66, Mendoza , Argentina</t>
  </si>
  <si>
    <t>FRAVEGA</t>
  </si>
  <si>
    <t>Av. San Martín 1162</t>
  </si>
  <si>
    <t>Av. San Martín 1162, Mendoza , Argentina</t>
  </si>
  <si>
    <t>MOICANO ROCKERIA
GALERÍA CARACOL</t>
  </si>
  <si>
    <t>MOBELL</t>
  </si>
  <si>
    <t>San Martín 1245 local 71</t>
  </si>
  <si>
    <t>San Martín 1245 local 71, Mendoza , Argentina</t>
  </si>
  <si>
    <t>Av. San Martín 2370</t>
  </si>
  <si>
    <t>Av. San Martín 2370, Mendoza , Argentina</t>
  </si>
  <si>
    <t>MARIO CROSS ROCK
GALERÍA CARACOL</t>
  </si>
  <si>
    <t>San Martín 1245 local 77</t>
  </si>
  <si>
    <t>San Martín 1245 local 77, Mendoza , Argentina</t>
  </si>
  <si>
    <t>REIG</t>
  </si>
  <si>
    <t>Av. San Martín 1700</t>
  </si>
  <si>
    <t>Av. San Martín 1700, Mendoza , Argentina</t>
  </si>
  <si>
    <t>BERKANA
GALERÍA CARACOL</t>
  </si>
  <si>
    <t>San Martín 1245 local 85</t>
  </si>
  <si>
    <t>San Martín 1245 local 85, Mendoza , Argentina</t>
  </si>
  <si>
    <t>RED INFORMÁTICA</t>
  </si>
  <si>
    <t>DI ANGELI
GALERÍA CARACOL</t>
  </si>
  <si>
    <t>Av. Colón 215</t>
  </si>
  <si>
    <t>Av. Colón 215 local derecha</t>
  </si>
  <si>
    <t>Av. Colón 215, Mendoza , Argentina</t>
  </si>
  <si>
    <t>San Martín 1245 local 87</t>
  </si>
  <si>
    <t>San Martín 1245 local 87, Mendoza , Argentina</t>
  </si>
  <si>
    <t>M.V.S.</t>
  </si>
  <si>
    <t>OTRA VIDA
GALERÍA CARACOL</t>
  </si>
  <si>
    <t>Av. Colón 484</t>
  </si>
  <si>
    <t>San Martín 1245 local 91</t>
  </si>
  <si>
    <t>Av. Colón 484, Mendoza , Argentina</t>
  </si>
  <si>
    <t>San Martín 1245 local 91, Mendoza , Argentina</t>
  </si>
  <si>
    <t>MVS</t>
  </si>
  <si>
    <t>THE AKRON
GALERÍA KOLTON</t>
  </si>
  <si>
    <t>San Martín 1355 local 5</t>
  </si>
  <si>
    <t>San Martín 1355 local 5, Mendoza , Argentina</t>
  </si>
  <si>
    <t>RUNA
GALERÍA KOLTON</t>
  </si>
  <si>
    <t>San Martín 1355 local 33</t>
  </si>
  <si>
    <t>Av. San Martín 1700 local derecha</t>
  </si>
  <si>
    <t>San Martín 1355 local 33, Mendoza , Argentina</t>
  </si>
  <si>
    <t>ISI
GALERÍA BAMAC</t>
  </si>
  <si>
    <t>latitude;longitude;name;desc;color</t>
  </si>
  <si>
    <t>San Martín 1425 local 11</t>
  </si>
  <si>
    <t>España 1554</t>
  </si>
  <si>
    <t>San Martín 1425 local 11, Mendoza , Argentina</t>
  </si>
  <si>
    <t>MEDICINA Y SALUD</t>
  </si>
  <si>
    <t>España 1554, Mendoza , Argentina</t>
  </si>
  <si>
    <t>FAMILIA GAUCHA
PASAJE SAN MARTÍN</t>
  </si>
  <si>
    <t>San Martín 1136 local 24</t>
  </si>
  <si>
    <t>SERVICE AFEITADORAS
GALERÍA TOMSA</t>
  </si>
  <si>
    <t>San Martín 1136 local 24, Mendoza , Argentina</t>
  </si>
  <si>
    <t>San Martín 1067 local s22</t>
  </si>
  <si>
    <t>San Martín 1067 local s22, Mendoza , Argentina</t>
  </si>
  <si>
    <t>REGIONALES VIRGEN DE LOURDES
PASAJE SAN MARTÍN</t>
  </si>
  <si>
    <t>-32,907039;-68,844678;Juan B, Justo 71, Mendoza , Argentina;Juan B, Justo 71, Villa Mercedes, Departamento Godoy Cruz, Mendoza, AR;</t>
  </si>
  <si>
    <t>San Martín 1136 local 25</t>
  </si>
  <si>
    <t>San Martín 1136 local 25, Mendoza , Argentina</t>
  </si>
  <si>
    <t>TECNOLOGIA INC</t>
  </si>
  <si>
    <t>Equipamiento de oficina</t>
  </si>
  <si>
    <t>A Y N
PASAJE SAN MARTÍN</t>
  </si>
  <si>
    <t>San Martín 1136 local 27</t>
  </si>
  <si>
    <t>San Martín 1136 local 27, Mendoza , Argentina</t>
  </si>
  <si>
    <t>9 de July 1119</t>
  </si>
  <si>
    <t>ISABELLA</t>
  </si>
  <si>
    <t>Calzados</t>
  </si>
  <si>
    <t>9 de Julio 1119, Mendoza , Argentina</t>
  </si>
  <si>
    <t>9 de July 0919</t>
  </si>
  <si>
    <t>COPIAR RICOH
GALERÍA TOMSA</t>
  </si>
  <si>
    <t>9 de Julio 919, Mendoza , Argentina</t>
  </si>
  <si>
    <t>San Martín 1167 local a26</t>
  </si>
  <si>
    <t>San Martín 1167 local a26, Mendoza , Argentina</t>
  </si>
  <si>
    <t>IL MARCONI
PASAJE SAN MARTÍN</t>
  </si>
  <si>
    <t>Calzados Femenino</t>
  </si>
  <si>
    <t>San Martín 1136 local 17</t>
  </si>
  <si>
    <t>San Martín 1136 local 17, Mendoza , Argentina</t>
  </si>
  <si>
    <t>9 de July 1080</t>
  </si>
  <si>
    <t>9 de Julio 1080, Mendoza , Argentina</t>
  </si>
  <si>
    <t>TODO COLOR PINTURERÍAS</t>
  </si>
  <si>
    <t>Equipamientos del hogar</t>
  </si>
  <si>
    <t>Juan B. Justo 295</t>
  </si>
  <si>
    <t>MINA CLARET</t>
  </si>
  <si>
    <t>Juan B. Justo 295, Mendoza , Argentina</t>
  </si>
  <si>
    <t>9 de July 1022</t>
  </si>
  <si>
    <t>ACYTRA</t>
  </si>
  <si>
    <t>Av. San Martín 1587</t>
  </si>
  <si>
    <t>9 de Julio 1022, Mendoza , Argentina</t>
  </si>
  <si>
    <t>Av. San Martín 1587 local izquierda</t>
  </si>
  <si>
    <t>Av. San Martín 1587, Mendoza , Argentina</t>
  </si>
  <si>
    <t>CERRO CUERO LEGITIMO</t>
  </si>
  <si>
    <t>ALTO ALBERDI</t>
  </si>
  <si>
    <t>Av. San Martín 2019</t>
  </si>
  <si>
    <t>Av. San Martín 2019, Mendoza , Argentina</t>
  </si>
  <si>
    <t>JOHNSON AMOBLAMIENTOS</t>
  </si>
  <si>
    <t>9 de July 0936</t>
  </si>
  <si>
    <t>Av. San Martín 2135</t>
  </si>
  <si>
    <t>9 de Julio 936, Mendoza , Argentina</t>
  </si>
  <si>
    <t>Av. San Martín 2135, Mendoza , Argentina</t>
  </si>
  <si>
    <t>SAMACO</t>
  </si>
  <si>
    <t>Av. San Martín 2197</t>
  </si>
  <si>
    <t>9 de July 1081</t>
  </si>
  <si>
    <t>Av. San Martín 2197, Mendoza , Argentina</t>
  </si>
  <si>
    <t>9 de Julio 1081, Mendoza , Argentina</t>
  </si>
  <si>
    <t>39,78373;-100,445882;Juan B, Justo Esquina Paso de los Andes, Mendoza , Argentina;US;</t>
  </si>
  <si>
    <t>9 de July 1163</t>
  </si>
  <si>
    <t>9 de julio 1163, Mendoza , Argentina</t>
  </si>
  <si>
    <t>9 de July 1181</t>
  </si>
  <si>
    <t>9 de julio 1181, Mendoza , Argentina</t>
  </si>
  <si>
    <t>9 de July 1491</t>
  </si>
  <si>
    <t>9 de julio 1491, Mendoza , Argentina</t>
  </si>
  <si>
    <t>Peatonal Sarmiento 37</t>
  </si>
  <si>
    <t>Peatonal Sarmiento 37, Mendoza , Argentina</t>
  </si>
  <si>
    <t>IBACETA</t>
  </si>
  <si>
    <t>39,78373;-100,445882;Peatonal Sarmiento 56, Mendoza , Argentina;US;</t>
  </si>
  <si>
    <t>Av. San Martín 2142</t>
  </si>
  <si>
    <t>Av. San Martín 2142, Mendoza , Argentina</t>
  </si>
  <si>
    <t>Peatonal Sarmiento 135</t>
  </si>
  <si>
    <t>Peatonal Sarmiento 135, Mendoza , Argentina</t>
  </si>
  <si>
    <t>LUCIANA</t>
  </si>
  <si>
    <t>Av. Las Heras 449</t>
  </si>
  <si>
    <t>Av. Las Heras 449, Mendoza , Argentina</t>
  </si>
  <si>
    <t>COLOMBRARO</t>
  </si>
  <si>
    <t>Av. Colón 464</t>
  </si>
  <si>
    <t>Av. Colón 464, Mendoza , Argentina</t>
  </si>
  <si>
    <t>Arístides Villanueva 395</t>
  </si>
  <si>
    <t>Arístides Villanueva 395, Mendoza , Argentina</t>
  </si>
  <si>
    <t>Espejo 38</t>
  </si>
  <si>
    <t>TEXTIL MANTEA</t>
  </si>
  <si>
    <t>Arístides Villanueva 527</t>
  </si>
  <si>
    <t>Av. Las Heras 39</t>
  </si>
  <si>
    <t>Arístides Villanueva 527, Mendoza , Argentina</t>
  </si>
  <si>
    <t>39,78373;-100,445882;Belgrano y Av, Sarmiento 1095, Mendoza , Argentina;US;</t>
  </si>
  <si>
    <t>FEDERAL SALUD</t>
  </si>
  <si>
    <t>Av. San Martín 1021</t>
  </si>
  <si>
    <t>Av. Colón 646</t>
  </si>
  <si>
    <t>Av. San Martín 1021, Mendoza , Argentina</t>
  </si>
  <si>
    <t>AGUASEC</t>
  </si>
  <si>
    <t>Espejo 38, Mendoza , Argentina</t>
  </si>
  <si>
    <t>Av. San Martín 1291</t>
  </si>
  <si>
    <t>Av. Colón 339</t>
  </si>
  <si>
    <t>Av. San Martín 1291, Mendoza , Argentina</t>
  </si>
  <si>
    <t>GAME OVER</t>
  </si>
  <si>
    <t>Godoy Cruz 233</t>
  </si>
  <si>
    <t>PUNTO JOVEN</t>
  </si>
  <si>
    <t>Godoy Cruz 233, Mendoza , Argentina</t>
  </si>
  <si>
    <t>Av. San Martín 1271</t>
  </si>
  <si>
    <t>Av. Colón y Av. Mitre 399</t>
  </si>
  <si>
    <t>Av. San Martín 1271, Mendoza , Argentina</t>
  </si>
  <si>
    <t>OVO ANTIGÜEDADES
GALERÍA TOMSA</t>
  </si>
  <si>
    <t>San Martín 1167 local s27</t>
  </si>
  <si>
    <t>-32,892117;-68,855303;Arístides Villanueva 331, Mendoza , Argentina;Arístides Villanueva 331, Ciudad de Mendoza, Sección 5ª Residencial Sur, Mendoza, AR;</t>
  </si>
  <si>
    <t>San Martín 1167 local s27, Mendoza , Argentina</t>
  </si>
  <si>
    <t>Av. San Martín 1253</t>
  </si>
  <si>
    <t>INDUCOL COLCHONES</t>
  </si>
  <si>
    <t>Av. San Martín 1253, Mendoza , Argentina</t>
  </si>
  <si>
    <t>Muebles y Colchones</t>
  </si>
  <si>
    <t>Av. San Martín 1662</t>
  </si>
  <si>
    <t>Av. San Martín 1662, Mendoza , Argentina</t>
  </si>
  <si>
    <t>PODER JUDICIAL</t>
  </si>
  <si>
    <t>Av. San Martín 1385</t>
  </si>
  <si>
    <t>Av. Colón 147 local derecha</t>
  </si>
  <si>
    <t>Av. San Martín 1385, Mendoza , Argentina</t>
  </si>
  <si>
    <t>LA PORTEÑA HOGAR</t>
  </si>
  <si>
    <t>Av. San Martín 1821</t>
  </si>
  <si>
    <t>Av. San Martín 1821, Mendoza , Argentina</t>
  </si>
  <si>
    <t>BOREAL COBERTURA MÉDICA</t>
  </si>
  <si>
    <t>Av. San Martín 1377</t>
  </si>
  <si>
    <t>FABRI MUEBLES</t>
  </si>
  <si>
    <t>Av. Colón 157 local derecha</t>
  </si>
  <si>
    <t>Av. San Martín 1377, Mendoza , Argentina</t>
  </si>
  <si>
    <t>Av. San Martín 1827</t>
  </si>
  <si>
    <t>Av. San Martín 1827, Mendoza , Argentina</t>
  </si>
  <si>
    <t>-32,891753;-68,839673;Av, San Martín 1001, Mendoza , Argentina;Avenida San Martín 1001, Ciudad de Mendoza, Sección 3ª Parque O'Higgins, Mendoza, AR;</t>
  </si>
  <si>
    <t>Av. San Martín 1437</t>
  </si>
  <si>
    <t>MIL SUEÑOS</t>
  </si>
  <si>
    <t>Espejo 80 local derecha</t>
  </si>
  <si>
    <t>Av. San Martín 1437, Mendoza , Argentina</t>
  </si>
  <si>
    <t>Av. San Martín 1883</t>
  </si>
  <si>
    <t>Av. San Martín 1883, Mendoza , Argentina</t>
  </si>
  <si>
    <t>CAPACHO TALABARTERÍA</t>
  </si>
  <si>
    <t>Av. San Martín 1332</t>
  </si>
  <si>
    <t>Av. Colón 738</t>
  </si>
  <si>
    <t>URQUIZA MUEBLES</t>
  </si>
  <si>
    <t>Av. San Martín 1332, Mendoza , Argentina</t>
  </si>
  <si>
    <t>Av. San Martín 1901</t>
  </si>
  <si>
    <t>Av. San Martín 1901, Mendoza , Argentina</t>
  </si>
  <si>
    <t>Av. San Martín 1350</t>
  </si>
  <si>
    <t>CONFORT MUEBLES</t>
  </si>
  <si>
    <t>-32,88754;-68,838561;Av, San Martín 1399, Mendoza , Argentina;Avenida San Martín 1399, Ciudad de Mendoza, Sección 3ª Parque O'Higgins, Mendoza, AR;</t>
  </si>
  <si>
    <t>Av. San Martín 1350, Mendoza , Argentina</t>
  </si>
  <si>
    <t>Av. San Martín 1949</t>
  </si>
  <si>
    <t>Av. San Martín 1949 local izquierda</t>
  </si>
  <si>
    <t>Av. San Martín 1949, Mendoza , Argentina</t>
  </si>
  <si>
    <t>TAURUS</t>
  </si>
  <si>
    <t>Av. San Martín 1232</t>
  </si>
  <si>
    <t>Av. San Martin 2033</t>
  </si>
  <si>
    <t>Av. San Martín 1232, Mendoza , Argentina</t>
  </si>
  <si>
    <t>Av. San Martin 2033, Mendoza , Argentina</t>
  </si>
  <si>
    <t>Av. Las Heras 69</t>
  </si>
  <si>
    <t>COSTA MUEBLES</t>
  </si>
  <si>
    <t>Av. San Martín 2081</t>
  </si>
  <si>
    <t>9 de July 1110</t>
  </si>
  <si>
    <t>Av. San Martín 2081, Mendoza , Argentina</t>
  </si>
  <si>
    <t>Av. Las Heras 69, Mendoza , Argentina</t>
  </si>
  <si>
    <t>-32,885271;-68,83804;Av, San Martín 1303, Mendoza , Argentina;Avenida San Martín, Ciudad de Mendoza, Sección 3ª Parque O'Higgins, Mendoza, AR;</t>
  </si>
  <si>
    <t>LIVING CHARLY</t>
  </si>
  <si>
    <t>Av. San Martín 2123</t>
  </si>
  <si>
    <t>Av. Las Heras 111</t>
  </si>
  <si>
    <t>Av. San Martín 2123, Mendoza , Argentina</t>
  </si>
  <si>
    <t>Av. Las Heras 111, Mendoza , Argentina</t>
  </si>
  <si>
    <t>ARTESANOS MUEBLES</t>
  </si>
  <si>
    <t>PAT-US</t>
  </si>
  <si>
    <t>Av. San Martín 2096</t>
  </si>
  <si>
    <t>Av. Las Heras 135</t>
  </si>
  <si>
    <t>Av. San Martín 2096, Mendoza , Argentina</t>
  </si>
  <si>
    <t>9 de July 0966</t>
  </si>
  <si>
    <t>LORENA MUEBLES</t>
  </si>
  <si>
    <t>Av. Las Heras 135, Mendoza , Argentina</t>
  </si>
  <si>
    <t>Av. San Martín 1914</t>
  </si>
  <si>
    <t>Av. San Martín 1914, Mendoza , Argentina</t>
  </si>
  <si>
    <t>-32,886045;-68,838371;Av, San Martín 1516, Mendoza , Argentina;Avenida San Martín 1516, Ciudad de Mendoza, Sección 3ª Parque O'Higgins, Mendoza, AR;</t>
  </si>
  <si>
    <t>Av. Las Heras 155</t>
  </si>
  <si>
    <t>MUEBLES ALAMEDA</t>
  </si>
  <si>
    <t>Av. Las Heras 155, Mendoza , Argentina</t>
  </si>
  <si>
    <t>Av. San Martín 1934</t>
  </si>
  <si>
    <t>Av. San Martín 1934, Mendoza , Argentina</t>
  </si>
  <si>
    <t>FÁBRICA DE MUEBLES CUYO</t>
  </si>
  <si>
    <t>Av. Las Heras 219</t>
  </si>
  <si>
    <t>Av. San Martín 1942</t>
  </si>
  <si>
    <t>Av. Las Heras 219, Mendoza , Argentina</t>
  </si>
  <si>
    <t>Av. San Martín 1942, Mendoza , Argentina</t>
  </si>
  <si>
    <t>SÓLO MI ALMA</t>
  </si>
  <si>
    <t>MUEBLES DE ESTILO</t>
  </si>
  <si>
    <t>Av. San Martín 1822</t>
  </si>
  <si>
    <t>-32,88691;-68,838569;Av, San Martín 1450, Mendoza , Argentina;Avenida San Martín 1450, Ciudad de Mendoza, Sección 3ª Parque O'Higgins, Mendoza, AR;</t>
  </si>
  <si>
    <t>Av. Las Heras 235</t>
  </si>
  <si>
    <t>Av. San Martín 1822, Mendoza , Argentina</t>
  </si>
  <si>
    <t>Av. Las Heras 235, Mendoza , Argentina</t>
  </si>
  <si>
    <t>MI CASA</t>
  </si>
  <si>
    <t>Av. San Martín 1830</t>
  </si>
  <si>
    <t>Av. San Martín 1830, Mendoza , Argentina</t>
  </si>
  <si>
    <t>FENDRA</t>
  </si>
  <si>
    <t>Av. Las Heras 360</t>
  </si>
  <si>
    <t>9 de July 1619</t>
  </si>
  <si>
    <t>MARIANA MUEBLES</t>
  </si>
  <si>
    <t>Av. Las Heras 360, Mendoza , Argentina</t>
  </si>
  <si>
    <t>Av. San Martín 1842</t>
  </si>
  <si>
    <t>Av. San Martín 1842, Mendoza , Argentina</t>
  </si>
  <si>
    <t>Av. Las Heras 86</t>
  </si>
  <si>
    <t>Av. Las Heras 86, Mendoza , Argentina</t>
  </si>
  <si>
    <t>MELTO COLCHONES</t>
  </si>
  <si>
    <t>-32,888766;-68,839072;Av, San Martín 1288, Mendoza , Argentina;Avenida San Martín 1288, Ciudad de Mendoza, Sección 3ª Parque O'Higgins, Mendoza, AR;</t>
  </si>
  <si>
    <t>Av. San Martín 1772</t>
  </si>
  <si>
    <t>VÍA LIBRE</t>
  </si>
  <si>
    <t>Av. San Martín 1772, Mendoza , Argentina</t>
  </si>
  <si>
    <t>Av. Colón 293</t>
  </si>
  <si>
    <t>Peatonal Sarmiento 119</t>
  </si>
  <si>
    <t>Av. Colón 293, Mendoza , Argentina</t>
  </si>
  <si>
    <t>DONNAMOBILE</t>
  </si>
  <si>
    <t>Espejo 268</t>
  </si>
  <si>
    <t>Espejo 268, Mendoza , Argentina</t>
  </si>
  <si>
    <t>MAYAS</t>
  </si>
  <si>
    <t>Espejo 199</t>
  </si>
  <si>
    <t>Espejo 199, Mendoza , Argentina</t>
  </si>
  <si>
    <t>MENDO - COL</t>
  </si>
  <si>
    <t>Godoy Cruz 99</t>
  </si>
  <si>
    <t>Godoy Cruz 99 local medio</t>
  </si>
  <si>
    <t>Godoy Cruz 99, Mendoza , Argentina</t>
  </si>
  <si>
    <t>Espejo 94</t>
  </si>
  <si>
    <t>-32,882265;-68,837251;Av, San Martín 1659, Mendoza , Argentina;Avenida San Martín, Ciudad de Mendoza, Sección 1ª Parque Central, Mendoza, AR;</t>
  </si>
  <si>
    <t>Espejo 94, Mendoza , Argentina</t>
  </si>
  <si>
    <t>LOS REYES DEL DESCANSO</t>
  </si>
  <si>
    <t>Godoy Cruz 261</t>
  </si>
  <si>
    <t>Godoy Cruz 261, Mendoza , Argentina</t>
  </si>
  <si>
    <t>PETRIOS
GALERÍA RUFO</t>
  </si>
  <si>
    <t>Muebles y colchones</t>
  </si>
  <si>
    <t>San Martín 1672 local d</t>
  </si>
  <si>
    <t>San Martín 1672 local d, Mendoza , Argentina</t>
  </si>
  <si>
    <t>ULTRA BYTES</t>
  </si>
  <si>
    <t>Pequeños electrónicos (Telefonía celular, accesorios, sonido)</t>
  </si>
  <si>
    <t>-32,882096;-68,837276;Av, San Martín 1818, Mendoza , Argentina;Avenida San Martín 1818, Ciudad de Mendoza, Sección 1ª Parque Central, Mendoza, AR;</t>
  </si>
  <si>
    <t>9 de Julio 1110, Mendoza , Argentina</t>
  </si>
  <si>
    <t>DIGITAL HOUSE</t>
  </si>
  <si>
    <t>Espejo 32</t>
  </si>
  <si>
    <t>Espejo 32, Mendoza , Argentina</t>
  </si>
  <si>
    <t>9 de July 1030</t>
  </si>
  <si>
    <t>9 de Julio 1030 local izquierda</t>
  </si>
  <si>
    <t>9 de Julio 1030, Mendoza , Argentina</t>
  </si>
  <si>
    <t>Godoy Cruz 287</t>
  </si>
  <si>
    <t>PIANTINO TECH</t>
  </si>
  <si>
    <t>Godoy Cruz 287, Mendoza , Argentina</t>
  </si>
  <si>
    <t>-32,885793;-68,840945;Av, Las Heras 201, Mendoza , Argentina;Avenida Las Heras 201, Ciudad de Mendoza, Sección 1ª Parque Central, Mendoza, AR;</t>
  </si>
  <si>
    <t>9 de July 0972</t>
  </si>
  <si>
    <t>9 de Julio 972, Mendoza , Argentina</t>
  </si>
  <si>
    <t>España 1514</t>
  </si>
  <si>
    <t>España 1514, Mendoza , Argentina</t>
  </si>
  <si>
    <t>ON SITE</t>
  </si>
  <si>
    <t>España 1169</t>
  </si>
  <si>
    <t>9 de July 1009</t>
  </si>
  <si>
    <t>-32,885514;-68,842561;Av, Las Heras 323, Mendoza , Argentina;Avenida Las Heras 323, Ciudad de Mendoza, Sección 1ª Parque Central, Mendoza, AR;</t>
  </si>
  <si>
    <t>España 1169, Mendoza , Argentina</t>
  </si>
  <si>
    <t>9 de Julio 1009, Mendoza , Argentina</t>
  </si>
  <si>
    <t>MADRAS
GALERÍA CARACOL</t>
  </si>
  <si>
    <t>San Martín 1245 local 50</t>
  </si>
  <si>
    <t>MOVIL STORE</t>
  </si>
  <si>
    <t>San Martín 1245 local 50, Mendoza , Argentina</t>
  </si>
  <si>
    <t>9 de July 1145</t>
  </si>
  <si>
    <t>CAMILA
GALERÍA KOLTON</t>
  </si>
  <si>
    <t>-32,885196;-68,844661;Av, Las Heras 501, Mendoza , Argentina;Avenida Las Heras, Ciudad de Mendoza, Sección 1ª Parque Central, Mendoza, AR;</t>
  </si>
  <si>
    <t>San Martín 1355 local 1</t>
  </si>
  <si>
    <t>9 de Julio 1145, Mendoza , Argentina</t>
  </si>
  <si>
    <t>San Martín 1355 local 1, Mendoza , Argentina</t>
  </si>
  <si>
    <t>CALZADOS MARCEL
GALERÍA BAMAC</t>
  </si>
  <si>
    <t>San Martín 1425 local 23</t>
  </si>
  <si>
    <t>San Martín 1425 local 23, Mendoza , Argentina</t>
  </si>
  <si>
    <t>SMARTPHONES SHOP</t>
  </si>
  <si>
    <t>NATURALEZA CORDILLERA
GALERÍA PIAZZA</t>
  </si>
  <si>
    <t>San Martín 1027 local 9</t>
  </si>
  <si>
    <t>9 de July 1529</t>
  </si>
  <si>
    <t>San Martín 1027 local 9, Mendoza , Argentina</t>
  </si>
  <si>
    <t>9 de julio 1529, Mendoza , Argentina</t>
  </si>
  <si>
    <t>HORMAGRANO
GALERÍA PIAZZA</t>
  </si>
  <si>
    <t>-32,884912;-68,846;Av, Las Heras 605, Mendoza , Argentina;Avenida Las Heras 605, Ciudad de Mendoza, Sección 1ª Parque Central, Mendoza, AR;</t>
  </si>
  <si>
    <t>San Martín 1027 local 59-60-61</t>
  </si>
  <si>
    <t>San Martín 1027 local 59-60-61, Mendoza , Argentina</t>
  </si>
  <si>
    <t>PERSONAL</t>
  </si>
  <si>
    <t>Peatonal Sarmiento y Av. San Martín</t>
  </si>
  <si>
    <t>Peatonal Sarmiento y Av. San Martín , Mendoza , Argentina</t>
  </si>
  <si>
    <t>Calzados Masculino</t>
  </si>
  <si>
    <t>9 de July 1455</t>
  </si>
  <si>
    <t>MOVISTAR</t>
  </si>
  <si>
    <t>Peatonal Sarmiento 215</t>
  </si>
  <si>
    <t>9 de Julio 1455, Mendoza , Argentina</t>
  </si>
  <si>
    <t>Peatonal Sarmiento 215, Mendoza , Argentina</t>
  </si>
  <si>
    <t>Peatonal Sarmiento 51</t>
  </si>
  <si>
    <t>-32,886079;-68,840227;Av, Las Heras 150, Mendoza , Argentina;Avenida Las Heras 150, Ciudad de Mendoza, Sección 1ª Parque Central, Mendoza, AR;</t>
  </si>
  <si>
    <t>Peatonal Sarmiento 51, Mendoza , Argentina</t>
  </si>
  <si>
    <t>Arístides Villanueva 295</t>
  </si>
  <si>
    <t>Arístides Villanueva 295 local derecha</t>
  </si>
  <si>
    <t>Arístides Villanueva 295, Mendoza , Argentina</t>
  </si>
  <si>
    <t>Av. San Martín 1510</t>
  </si>
  <si>
    <t>TECH MARKET</t>
  </si>
  <si>
    <t>Av. San Martín 1510, Mendoza , Argentina</t>
  </si>
  <si>
    <t>Arístides Villanueva 250</t>
  </si>
  <si>
    <t>Arístides Villanueva 250 local tech market</t>
  </si>
  <si>
    <t>Arístides Villanueva 250, Mendoza , Argentina</t>
  </si>
  <si>
    <t>NAPOLETANO</t>
  </si>
  <si>
    <t>MÁS CELULAR</t>
  </si>
  <si>
    <t>Av. San Martín 1434</t>
  </si>
  <si>
    <t>Av. Colón 502</t>
  </si>
  <si>
    <t>Av. San Martín 901</t>
  </si>
  <si>
    <t>Av. San Martín 1434, Mendoza , Argentina</t>
  </si>
  <si>
    <t>Av. San Martín 901, Mendoza , Argentina</t>
  </si>
  <si>
    <t>-32,894025;-68,845681;Av, Colón 361, Mendoza , Argentina;Avenida Colón, Ciudad de Mendoza, Sección 2ª Barrio Cívico, Mendoza, AR;</t>
  </si>
  <si>
    <t>SMART CENTER</t>
  </si>
  <si>
    <t>Av. Las Heras 225</t>
  </si>
  <si>
    <t>Garibaldi 1</t>
  </si>
  <si>
    <t>Av. Las Heras 225, Mendoza , Argentina</t>
  </si>
  <si>
    <t>Garibaldi 1, Mendoza , Argentina</t>
  </si>
  <si>
    <t>CLARO</t>
  </si>
  <si>
    <t>Av. San Martín 1123</t>
  </si>
  <si>
    <t>Av. San Martín 1123, Mendoza , Argentina</t>
  </si>
  <si>
    <t>RENZO</t>
  </si>
  <si>
    <t>AMBAR</t>
  </si>
  <si>
    <t>Av. San Martín 1213</t>
  </si>
  <si>
    <t>Av. San Martín 1213 local derecha</t>
  </si>
  <si>
    <t>Av. San Martín 1213, Mendoza , Argentina</t>
  </si>
  <si>
    <t>-32,894025;-68,845681;Av, Colón 459, Mendoza , Argentina;Avenida Colón, Ciudad de Mendoza, Sección 2ª Barrio Cívico, Mendoza, AR;</t>
  </si>
  <si>
    <t>Espejo 55</t>
  </si>
  <si>
    <t>LAVALLE CELULARES</t>
  </si>
  <si>
    <t>Espejo 55, Mendoza , Argentina</t>
  </si>
  <si>
    <t>Av. San Martín 1600</t>
  </si>
  <si>
    <t>Av. San Martín 1600, Mendoza , Argentina</t>
  </si>
  <si>
    <t>Espejo 262</t>
  </si>
  <si>
    <t>MOTO-MOTO</t>
  </si>
  <si>
    <t>Espejo 262, Mendoza , Argentina</t>
  </si>
  <si>
    <t>Av. San Martín 1590</t>
  </si>
  <si>
    <t>Av. San Martín 1590 local derecha</t>
  </si>
  <si>
    <t>Av. San Martín 1590, Mendoza , Argentina</t>
  </si>
  <si>
    <t>España 1479</t>
  </si>
  <si>
    <t>SPORT TOTAL</t>
  </si>
  <si>
    <t>España 1479, Mendoza , Argentina</t>
  </si>
  <si>
    <t>Av. San Martín 1438</t>
  </si>
  <si>
    <t>-32,893599;-68,847475;Av, Colón 539, Mendoza , Argentina;Avenida Colón 539, Ciudad de Mendoza, Sección 2ª Barrio Cívico, Mendoza, AR;</t>
  </si>
  <si>
    <t>Av. San Martín 1438, Mendoza , Argentina</t>
  </si>
  <si>
    <t>SEUS OUTLET</t>
  </si>
  <si>
    <t>Indumentaria Femenina</t>
  </si>
  <si>
    <t>Av. San Martín 1244</t>
  </si>
  <si>
    <t>9 de July 1666</t>
  </si>
  <si>
    <t>Av. San Martín 1244, Mendoza , Argentina</t>
  </si>
  <si>
    <t>9 de Julio 1666, Mendoza , Argentina</t>
  </si>
  <si>
    <t>Av. San Martín 1102</t>
  </si>
  <si>
    <t>9 de July 1658</t>
  </si>
  <si>
    <t>Av. San Martín 1102, Mendoza , Argentina</t>
  </si>
  <si>
    <t>9 de Julio 1658, Mendoza , Argentina</t>
  </si>
  <si>
    <t>ONE STORE</t>
  </si>
  <si>
    <t>-32,893184;-68,850683;Av, Colón 798, Mendoza , Argentina;Avenida Colón 798, Ciudad de Mendoza, Sección 5ª Residencial Sur, Mendoza, AR;</t>
  </si>
  <si>
    <t>Av. San Martín 1198</t>
  </si>
  <si>
    <t>Av. San Martín 1198, Mendoza , Argentina</t>
  </si>
  <si>
    <t>9 de julio 1658, Mendoza , Argentina</t>
  </si>
  <si>
    <t>Av. San Martín 1032</t>
  </si>
  <si>
    <t>Av. San Martín 1032 local derecha</t>
  </si>
  <si>
    <t>Av. San Martín 1032, Mendoza , Argentina</t>
  </si>
  <si>
    <t>MOON TEEN</t>
  </si>
  <si>
    <t>9 de July 1650</t>
  </si>
  <si>
    <t>ROMEGA CELULARES</t>
  </si>
  <si>
    <t>Av. San Martín 1070 local 3</t>
  </si>
  <si>
    <t>Av. San Martín 1070 local 3, Mendoza , Argentina</t>
  </si>
  <si>
    <t>-32,894535;-68,844899;Av, Colón 324, Mendoza , Argentina;Avenida Colón 324, Ciudad de Mendoza, Sección 2ª Barrio Cívico, Mendoza, AR;</t>
  </si>
  <si>
    <t>9 de Julio 1650, Mendoza , Argentina</t>
  </si>
  <si>
    <t>S Y F COMUNICACIONES</t>
  </si>
  <si>
    <t>Av. San Martín 1070 local 6</t>
  </si>
  <si>
    <t>Av. San Martín 1070 local 6, Mendoza , Argentina</t>
  </si>
  <si>
    <t>9 de July 1626</t>
  </si>
  <si>
    <t>9 de Julio 1626, Mendoza , Argentina</t>
  </si>
  <si>
    <t>Av. San Martín 968</t>
  </si>
  <si>
    <t>Av. San Martín 968, Mendoza , Argentina</t>
  </si>
  <si>
    <t>9 de July 1622</t>
  </si>
  <si>
    <t>MOTO - MOTO</t>
  </si>
  <si>
    <t>9 de Julio 1622, Mendoza , Argentina</t>
  </si>
  <si>
    <t>Av. Las Heras 39 local derecha</t>
  </si>
  <si>
    <t>-32,894025;-68,845681;Av, Colón 160, Mendoza , Argentina;Avenida Colón, Ciudad de Mendoza, Sección 2ª Barrio Cívico, Mendoza, AR;</t>
  </si>
  <si>
    <t>Av. Las Heras 39, Mendoza , Argentina</t>
  </si>
  <si>
    <t>9 de July 1616</t>
  </si>
  <si>
    <t>Av. Las Heras 91</t>
  </si>
  <si>
    <t>9 de julio 1616, Mendoza , Argentina</t>
  </si>
  <si>
    <t>Av. Las Heras 91, Mendoza , Argentina</t>
  </si>
  <si>
    <t>9 de July 1614</t>
  </si>
  <si>
    <t>Av. Las Heras 207</t>
  </si>
  <si>
    <t>Av. Las Heras 207, Mendoza , Argentina</t>
  </si>
  <si>
    <t>9 de Julio 1614, Mendoza , Argentina</t>
  </si>
  <si>
    <t>39,78373;-100,445882;Espejo 19 local derecha, Mendoza , Argentina;US;</t>
  </si>
  <si>
    <t>Av. Las Heras 283</t>
  </si>
  <si>
    <t>9 de July 1598</t>
  </si>
  <si>
    <t>Av. Las Heras 283, Mendoza , Argentina</t>
  </si>
  <si>
    <t>9 de Julio 1598, Mendoza , Argentina</t>
  </si>
  <si>
    <t>DOCTOR CELULAR</t>
  </si>
  <si>
    <t>Av. Las Heras 311</t>
  </si>
  <si>
    <t>Av. Las Heras 311 local izquierda</t>
  </si>
  <si>
    <t>Av. Las Heras 311, Mendoza , Argentina</t>
  </si>
  <si>
    <t>9 de July 1584</t>
  </si>
  <si>
    <t>9 de Julio 1584, Mendoza , Argentina</t>
  </si>
  <si>
    <t>Av. Las Heras 345 local izquierda</t>
  </si>
  <si>
    <t>9 de July 1574</t>
  </si>
  <si>
    <t>9 de Julio 1574, Mendoza , Argentina</t>
  </si>
  <si>
    <t>-32,887937;-68,84806;Espejo 59, Mendoza , Argentina;Espejo, Ciudad de Mendoza, Sección 2ª Barrio Cívico, Mendoza, AR;</t>
  </si>
  <si>
    <t>SMART PLANET</t>
  </si>
  <si>
    <t>Av. Colón 638</t>
  </si>
  <si>
    <t>Av. Colón 638, Mendoza , Argentina</t>
  </si>
  <si>
    <t>NEXTEL</t>
  </si>
  <si>
    <t>Av. Colón 232</t>
  </si>
  <si>
    <t>Av. Colón 232, Mendoza , Argentina</t>
  </si>
  <si>
    <t>9 de July 1556</t>
  </si>
  <si>
    <t>Espejo y Av. San Martín</t>
  </si>
  <si>
    <t>9 de Julio 1556, Mendoza , Argentina</t>
  </si>
  <si>
    <t>Espejo y Av. San Martín , Mendoza , Argentina</t>
  </si>
  <si>
    <t>-32,888641;-68,844186;Espejo 99, Mendoza , Argentina;Espejo, Ciudad de Mendoza, Sección 2ª Barrio Cívico, Mendoza, AR;</t>
  </si>
  <si>
    <t>MDZ CELULARES</t>
  </si>
  <si>
    <t>Godoy Cruz 213</t>
  </si>
  <si>
    <t>9 de July 1538</t>
  </si>
  <si>
    <t>Godoy Cruz 213 - Dpto 2 local izq.; izq.</t>
  </si>
  <si>
    <t>Godoy Cruz 213, Mendoza , Argentina</t>
  </si>
  <si>
    <t>9 de Julio 1538, Mendoza , Argentina</t>
  </si>
  <si>
    <t>INTEGRAL TELEFONÍA</t>
  </si>
  <si>
    <t>Godoy Cruz 276</t>
  </si>
  <si>
    <t>Godoy Cruz 276 local derecha</t>
  </si>
  <si>
    <t>Godoy Cruz 276, Mendoza , Argentina</t>
  </si>
  <si>
    <t>9 de July 1534</t>
  </si>
  <si>
    <t>9 de Julio 1534, Mendoza , Argentina</t>
  </si>
  <si>
    <t>EL PRIMERO CELULARES</t>
  </si>
  <si>
    <t>Godoy Cruz 202</t>
  </si>
  <si>
    <t>-32,889131;-68,841781;Espejo 202, Mendoza , Argentina;Espejo 202, Ciudad de Mendoza, Sección 2ª Barrio Cívico, Mendoza, AR;</t>
  </si>
  <si>
    <t>Godoy Cruz 202, Mendoza , Argentina</t>
  </si>
  <si>
    <t>9 de July 1532</t>
  </si>
  <si>
    <t>MOTO MOTO</t>
  </si>
  <si>
    <t>9 de Julio 1532, Mendoza , Argentina</t>
  </si>
  <si>
    <t>Godoy Cruz 22</t>
  </si>
  <si>
    <t>Godoy Cruz 22, Mendoza , Argentina</t>
  </si>
  <si>
    <t>MOVISTAR
GALERÍA MENDOZA</t>
  </si>
  <si>
    <t>9 de July 1518</t>
  </si>
  <si>
    <t>San Martín 1360 local 1</t>
  </si>
  <si>
    <t>San Martín 1360 local 1, Mendoza , Argentina</t>
  </si>
  <si>
    <t>9 de Julio 1518, Mendoza , Argentina</t>
  </si>
  <si>
    <t>JCELULARES
GALERÍA TOMSA</t>
  </si>
  <si>
    <t>San Martín 1167 local s32</t>
  </si>
  <si>
    <t>9 de Julio 1126 Dpto 2</t>
  </si>
  <si>
    <t>San Martín 1167 local s32, Mendoza , Argentina</t>
  </si>
  <si>
    <t>9 de Julio 1126 Dpto 2, Mendoza , Argentina</t>
  </si>
  <si>
    <t>-34,979176;-67,688023;Godoy Cruz 382, Mendoza , Argentina;Godoy Cruz, General Alvear, Distrito Ciudad de General Alvear, Mendoza, AR;</t>
  </si>
  <si>
    <t>WHATS'UP
GALERÍA TOMSA</t>
  </si>
  <si>
    <t>San Martín 1167 local s34</t>
  </si>
  <si>
    <t>DONA LIBERA</t>
  </si>
  <si>
    <t>San Martín 1167 local s34, Mendoza , Argentina</t>
  </si>
  <si>
    <t>9 de July 1062</t>
  </si>
  <si>
    <t>9 de Julio 1062, Mendoza , Argentina</t>
  </si>
  <si>
    <t>OLU
GALERÍA TOMSA</t>
  </si>
  <si>
    <t>San Martín 1167 local s46</t>
  </si>
  <si>
    <t>San Martín 1167 local s46, Mendoza , Argentina</t>
  </si>
  <si>
    <t>9 de July 1060</t>
  </si>
  <si>
    <t>TECH ONE
GALERÍA TOMSA</t>
  </si>
  <si>
    <t>9 de Julio 1060, Mendoza , Argentina</t>
  </si>
  <si>
    <t>San Martín 1167 local s48</t>
  </si>
  <si>
    <t>San Martín 1167 local s48, Mendoza , Argentina</t>
  </si>
  <si>
    <t>-32,884761;-68,840642;General Paz 201, Mendoza , Argentina;General Paz 201, Ciudad de Mendoza, Sección 1ª Parque Central, Mendoza, AR;</t>
  </si>
  <si>
    <t>ROXMINA</t>
  </si>
  <si>
    <t>TELEFONÍA CELULAR
GALERÍA TOMSA</t>
  </si>
  <si>
    <t>9 de July 1054</t>
  </si>
  <si>
    <t>San Martín 1167 local s80</t>
  </si>
  <si>
    <t>San Martín 1167 local s80, Mendoza , Argentina</t>
  </si>
  <si>
    <t>9 de julio 1054, Mendoza , Argentina</t>
  </si>
  <si>
    <t>GEO.COM
GALERÍA TOMSA</t>
  </si>
  <si>
    <t>San Martín 1167 local s96</t>
  </si>
  <si>
    <t>San Martín 1167 local s96, Mendoza , Argentina</t>
  </si>
  <si>
    <t>9 de July 1002</t>
  </si>
  <si>
    <t>SERVICOM
GALERÍA TOMSA</t>
  </si>
  <si>
    <t>9 de Julio 1002, Mendoza , Argentina</t>
  </si>
  <si>
    <t>San Martín 1167 local s100</t>
  </si>
  <si>
    <t>San Martín 1167 local s100, Mendoza , Argentina</t>
  </si>
  <si>
    <t>DUAL TEC
GALERÍA TOMSA</t>
  </si>
  <si>
    <t>San Martín 1167 local s132</t>
  </si>
  <si>
    <t>9 de July 1000</t>
  </si>
  <si>
    <t>San Martín 1167 local s132, Mendoza , Argentina</t>
  </si>
  <si>
    <t>-34,974904;-67,683115;España 1504, Mendoza , Argentina;España, General Alvear, Distrito Ciudad de General Alvear, Mendoza, AR;</t>
  </si>
  <si>
    <t>9 de Julio 1000, Mendoza , Argentina</t>
  </si>
  <si>
    <t>RINGTONE
GALERÍA TOMSA</t>
  </si>
  <si>
    <t>San Martín 1167 local s69</t>
  </si>
  <si>
    <t>San Martín 1167 local s69, Mendoza , Argentina</t>
  </si>
  <si>
    <t>9 de July 0916</t>
  </si>
  <si>
    <t>BGC
GALERÍA TOMSA</t>
  </si>
  <si>
    <t>9 de Julio 916, Mendoza , Argentina</t>
  </si>
  <si>
    <t>San Martín 1167 local s55</t>
  </si>
  <si>
    <t>San Martín 1167 local s55, Mendoza , Argentina</t>
  </si>
  <si>
    <t>MI CELULAR
GALERÍA TOMSA</t>
  </si>
  <si>
    <t>9 de July 0925</t>
  </si>
  <si>
    <t>San Martín 1167 local s39</t>
  </si>
  <si>
    <t>9 de Julio 925, Mendoza , Argentina</t>
  </si>
  <si>
    <t>San Martín 1167 local s39, Mendoza , Argentina</t>
  </si>
  <si>
    <t>-34,974904;-67,683115;España 1116, Mendoza , Argentina;España, General Alvear, Distrito Ciudad de General Alvear, Mendoza, AR;</t>
  </si>
  <si>
    <t>FULL MOVIL
GALERÍA TOMSA</t>
  </si>
  <si>
    <t>San Martín 1167 local a7</t>
  </si>
  <si>
    <t>San Martín 1167 local a7, Mendoza , Argentina</t>
  </si>
  <si>
    <t>9 de July 1017</t>
  </si>
  <si>
    <t>9 de Julio 1017, Mendoza , Argentina</t>
  </si>
  <si>
    <t>MENDOZA CELULAR
GALERÍA TOMSA</t>
  </si>
  <si>
    <t>San Martín 1167 local v3</t>
  </si>
  <si>
    <t>San Martín 1167 local v3, Mendoza , Argentina</t>
  </si>
  <si>
    <t>9 de July 1019</t>
  </si>
  <si>
    <t>FREECOM
GALERÍA TOMSA</t>
  </si>
  <si>
    <t>9 de Julio 1019, Mendoza , Argentina</t>
  </si>
  <si>
    <t>San Martín 1167 local v28m</t>
  </si>
  <si>
    <t>San Martín 1167 local v28m, Mendoza , Argentina</t>
  </si>
  <si>
    <t>PROMOVIL
GALERÍA TOMSA</t>
  </si>
  <si>
    <t>San Martín 1167 local s94m</t>
  </si>
  <si>
    <t>San Martín 1167 local s94m, Mendoza , Argentina</t>
  </si>
  <si>
    <t>ELECTRO FACTOY
GALERÍA TOMSA</t>
  </si>
  <si>
    <t>San Martín 1167 local s98m</t>
  </si>
  <si>
    <t>9 de Julio 1063 Dpto 1</t>
  </si>
  <si>
    <t>San Martín 1167 local s98m, Mendoza , Argentina</t>
  </si>
  <si>
    <t>9 de Julio 1063 Dpto 1, Mendoza , Argentina</t>
  </si>
  <si>
    <t>-34,974904;-67,683115;España 980, Mendoza , Argentina;España, General Alvear, Distrito Ciudad de General Alvear, Mendoza, AR;</t>
  </si>
  <si>
    <t>LA CLÍNICA DEL CELULAR
GALERÍA TOMSA</t>
  </si>
  <si>
    <t>San Martín 1167 local s102m</t>
  </si>
  <si>
    <t>San Martín 1167 local s102m, Mendoza , Argentina</t>
  </si>
  <si>
    <t>9 de Julio 1063 Dpto 4</t>
  </si>
  <si>
    <t>9 de Julio 1063 Dpto 4, Mendoza , Argentina</t>
  </si>
  <si>
    <t>San Martín 1167 local a4m</t>
  </si>
  <si>
    <t>San Martín 1167 local a4m, Mendoza , Argentina</t>
  </si>
  <si>
    <t>NUEVO MUNDO
GALERÍA TOMSA</t>
  </si>
  <si>
    <t>-34,974904;-67,683115;España 953, Mendoza , Argentina;España, General Alvear, Distrito Ciudad de General Alvear, Mendoza, AR;</t>
  </si>
  <si>
    <t>San Martín 1167 local j14b</t>
  </si>
  <si>
    <t>San Martín 1167 local j14b, Mendoza , Argentina</t>
  </si>
  <si>
    <t>9 de July 1137</t>
  </si>
  <si>
    <t>EL VARÓN
GALERÍA TOMSA</t>
  </si>
  <si>
    <t>9 de julio 1137, Mendoza , Argentina</t>
  </si>
  <si>
    <t>San Martín 1167 local m15</t>
  </si>
  <si>
    <t>San Martín 1167 local m15, Mendoza , Argentina</t>
  </si>
  <si>
    <t>CONSULTORIO MÉDICO</t>
  </si>
  <si>
    <t>RED CELULARES
GALERÍA TOMSA</t>
  </si>
  <si>
    <t>Medicina y Salud</t>
  </si>
  <si>
    <t>Juan B. Justo 145</t>
  </si>
  <si>
    <t>Juan B. Justo 145, Mendoza , Argentina</t>
  </si>
  <si>
    <t>9 de julio 1159, Mendoza , Argentina</t>
  </si>
  <si>
    <t>-32,906908;-68,845728;Juan B, Justo 145, Mendoza , Argentina;Juan B, Justo 145, Villa Mercedes, Departamento Godoy Cruz, Mendoza, AR;</t>
  </si>
  <si>
    <t>San Martín 1167 local j16</t>
  </si>
  <si>
    <t>9 de julio 1165, Mendoza , Argentina</t>
  </si>
  <si>
    <t>San Martín 1167 local j16, Mendoza , Argentina</t>
  </si>
  <si>
    <t>GACTEI
GALERÍA CARACOL</t>
  </si>
  <si>
    <t>San Martín 1245 local 48</t>
  </si>
  <si>
    <t>9 de July 1185</t>
  </si>
  <si>
    <t>San Martín 1245 local 48, Mendoza , Argentina</t>
  </si>
  <si>
    <t>9 de julio 1185, Mendoza , Argentina</t>
  </si>
  <si>
    <t>BIO IN</t>
  </si>
  <si>
    <t>LA CASSETECA
PASAJE SAN MARTÍN</t>
  </si>
  <si>
    <t>Juan B. Justo 245</t>
  </si>
  <si>
    <t>San Martín 1136 local 11</t>
  </si>
  <si>
    <t>San Martín 1136 local 11, Mendoza , Argentina</t>
  </si>
  <si>
    <t>Juan B. Justo 245, Mendoza , Argentina</t>
  </si>
  <si>
    <t>-32,906773;-68,846944;Juan B, Justo 245, Mendoza , Argentina;Juan B, Justo 245, Villa Mercedes, Departamento Godoy Cruz, Mendoza, AR;</t>
  </si>
  <si>
    <t>9 de July 1193</t>
  </si>
  <si>
    <t>SERVICE CELULARES
PASAJE SAN MARTÍN</t>
  </si>
  <si>
    <t>9 de julio 1193, Mendoza , Argentina</t>
  </si>
  <si>
    <t>San Martín 1136 local 18</t>
  </si>
  <si>
    <t>San Martín 1136 local 18, Mendoza , Argentina</t>
  </si>
  <si>
    <t>MAGALI ZABALA</t>
  </si>
  <si>
    <t>PAÑALERA</t>
  </si>
  <si>
    <t>9 de July 1215</t>
  </si>
  <si>
    <t>Venta de articulos de uso doméstico</t>
  </si>
  <si>
    <t>Av. San Martín 1710</t>
  </si>
  <si>
    <t>9 de julio 1215, Mendoza , Argentina</t>
  </si>
  <si>
    <t>Av. San Martín 1710, Mendoza , Argentina</t>
  </si>
  <si>
    <t>JUAN VALENTIN</t>
  </si>
  <si>
    <t>FRESENIUS MEDICAL CARE</t>
  </si>
  <si>
    <t>PAÑALES PAÑALIN</t>
  </si>
  <si>
    <t>Juan B. Justo 777</t>
  </si>
  <si>
    <t>9 de July 1255</t>
  </si>
  <si>
    <t>Av. Colón 228</t>
  </si>
  <si>
    <t>Juan B. Justo 777, Mendoza , Argentina</t>
  </si>
  <si>
    <t>9 de julio 1255, Mendoza , Argentina</t>
  </si>
  <si>
    <t>Av. Colón 228, Mendoza , Argentina</t>
  </si>
  <si>
    <t>-33,571657;-69,012587;Juan B, Justo 777, Mendoza , Argentina;Juan B, Justo, Tunuyán, Distrito Ciudad de Tunuyán, Mendoza, AR;</t>
  </si>
  <si>
    <t>BROW</t>
  </si>
  <si>
    <t>CASCHETTO HERRAMIENTAS</t>
  </si>
  <si>
    <t>Venta de elementos de construcción</t>
  </si>
  <si>
    <t>9 de July 1489</t>
  </si>
  <si>
    <t>Juan B. Justo 737</t>
  </si>
  <si>
    <t>9 de julio 1489, Mendoza , Argentina</t>
  </si>
  <si>
    <t>Juan B. Justo 737, Mendoza , Argentina</t>
  </si>
  <si>
    <t>FERRETERÍA</t>
  </si>
  <si>
    <t>Juan B. Justo 692</t>
  </si>
  <si>
    <t>9 de July 1527</t>
  </si>
  <si>
    <t>Juan B. Justo 692, Mendoza , Argentina</t>
  </si>
  <si>
    <t>FEDERACIÓN PATRONAL SEGUROS</t>
  </si>
  <si>
    <t>9 de julio 1527, Mendoza , Argentina</t>
  </si>
  <si>
    <t>Juan B. Justo 302</t>
  </si>
  <si>
    <t>Juan B. Justo 302, Mendoza , Argentina</t>
  </si>
  <si>
    <t>-32,906834;-68,847913;Juan B, Justo 302, Mendoza , Argentina;Juan B, Justo 302, Villa Mercedes, Departamento Godoy Cruz, Mendoza, AR;</t>
  </si>
  <si>
    <t>9 de July 1533</t>
  </si>
  <si>
    <t>9 de julio 1533, Mendoza , Argentina</t>
  </si>
  <si>
    <t>LETREROS FARRERAS</t>
  </si>
  <si>
    <t>Juan B. Justo 308</t>
  </si>
  <si>
    <t>Juan B. Justo 308, Mendoza , Argentina</t>
  </si>
  <si>
    <t>9 de July 1547</t>
  </si>
  <si>
    <t>9 de Julio 1547, Mendoza , Argentina</t>
  </si>
  <si>
    <t>FERRETERÍA SO</t>
  </si>
  <si>
    <t>CEKIM</t>
  </si>
  <si>
    <t>Juan B. Justo 311</t>
  </si>
  <si>
    <t>ROJO MODA PASIÓN</t>
  </si>
  <si>
    <t>Juan B. Justo 311, Mendoza , Argentina</t>
  </si>
  <si>
    <t>9 de July 1031</t>
  </si>
  <si>
    <t>9 de July 1579</t>
  </si>
  <si>
    <t>-32,906704;-68,847968;Juan B, Justo 311, Mendoza , Argentina;Juan B, Justo 311, Villa Mercedes, Departamento Godoy Cruz, Mendoza, AR;</t>
  </si>
  <si>
    <t>9 de Julio 1579, Mendoza , Argentina</t>
  </si>
  <si>
    <t>9 de Julio 1031, Mendoza , Argentina</t>
  </si>
  <si>
    <t>PANDORA</t>
  </si>
  <si>
    <t>9 de July 1611</t>
  </si>
  <si>
    <t>9 de Julio 1611, Mendoza , Argentina</t>
  </si>
  <si>
    <t>9 de July 1583</t>
  </si>
  <si>
    <t>9 de July 1615</t>
  </si>
  <si>
    <t>9 de Julio 1583, Mendoza , Argentina</t>
  </si>
  <si>
    <t>KINESIOLOGÍA SALUD</t>
  </si>
  <si>
    <t>9 de Julio 1615, Mendoza , Argentina</t>
  </si>
  <si>
    <t>Juan B. Justo 244</t>
  </si>
  <si>
    <t>Juan B. Justo 244, Mendoza , Argentina</t>
  </si>
  <si>
    <t>JAURE</t>
  </si>
  <si>
    <t>-32,906895;-68,846945;Juan B, Justo 244, Mendoza , Argentina;Juan B, Justo 244, Villa Mercedes, Departamento Godoy Cruz, Mendoza, AR;</t>
  </si>
  <si>
    <t>EVELYN</t>
  </si>
  <si>
    <t>Av. San Martín 905</t>
  </si>
  <si>
    <t>Av. San Martín 905, Mendoza , Argentina</t>
  </si>
  <si>
    <t>9 de Julio 1619, Mendoza , Argentina</t>
  </si>
  <si>
    <t>PELLIZZONI REPUESTOS</t>
  </si>
  <si>
    <t>Av. San Martín 1913</t>
  </si>
  <si>
    <t>Av. San Martín 1913, Mendoza , Argentina</t>
  </si>
  <si>
    <t>OPTIMED</t>
  </si>
  <si>
    <t>9 de July 1661</t>
  </si>
  <si>
    <t>MONTEVERDE CONSTRUCCIÓN INDUSTRIALIZADA</t>
  </si>
  <si>
    <t>9 de Julio 1661, Mendoza , Argentina</t>
  </si>
  <si>
    <t>Av. San Martín 2302</t>
  </si>
  <si>
    <t>9 de July 0941</t>
  </si>
  <si>
    <t>Av. San Martín 2302, Mendoza , Argentina</t>
  </si>
  <si>
    <t>CALESITA</t>
  </si>
  <si>
    <t>9 de Julio 941, Mendoza , Argentina</t>
  </si>
  <si>
    <t>9 de July 1673</t>
  </si>
  <si>
    <t>-34,972739;-67,68561;9 de Julio 941, Mendoza , Argentina;9 de Julio, General Alvear, Distrito Ciudad de General Alvear, Mendoza, AR;</t>
  </si>
  <si>
    <t>INDUSTRIAS MANTINEO</t>
  </si>
  <si>
    <t>9 de Julio 1673, Mendoza , Argentina</t>
  </si>
  <si>
    <t>Av. San Martín 2164</t>
  </si>
  <si>
    <t>Av. San Martín 2164, Mendoza , Argentina</t>
  </si>
  <si>
    <t>9 de July 1677</t>
  </si>
  <si>
    <t>9 de Julio 1677, Mendoza , Argentina</t>
  </si>
  <si>
    <t>FERRETERÍA PATRICIAS</t>
  </si>
  <si>
    <t>Av. Las Heras 183</t>
  </si>
  <si>
    <t>Av. Las Heras 183, Mendoza , Argentina</t>
  </si>
  <si>
    <t>Peatonal Sarmiento 119, Mendoza , Argentina</t>
  </si>
  <si>
    <t>CLÍNICA DE OJOS</t>
  </si>
  <si>
    <t>FERRETERÍA LEMOS</t>
  </si>
  <si>
    <t>Peatonal Sarmiento 161/163</t>
  </si>
  <si>
    <t>Av. Colón 518</t>
  </si>
  <si>
    <t>Av. Colón 518 local derecha</t>
  </si>
  <si>
    <t>Peatonal Sarmiento 161/163, Mendoza , Argentina</t>
  </si>
  <si>
    <t>Av. Colón 518, Mendoza , Argentina</t>
  </si>
  <si>
    <t>39,78373;-100,445882;Peatonal Sarmiento 161/163, Mendoza , Argentina;US;</t>
  </si>
  <si>
    <t>Peatonal Sarmiento 286 derecha</t>
  </si>
  <si>
    <t>SAN FRANCISCO</t>
  </si>
  <si>
    <t>Espejo 95</t>
  </si>
  <si>
    <t>Espejo 95, Mendoza , Argentina</t>
  </si>
  <si>
    <t>DIONNE</t>
  </si>
  <si>
    <t>Peatonal Sarmiento 164</t>
  </si>
  <si>
    <t>Peatonal Sarmiento 164, Mendoza , Argentina</t>
  </si>
  <si>
    <t>Peatonal Sarmiento 130</t>
  </si>
  <si>
    <t>OPTICA VISION</t>
  </si>
  <si>
    <t>Peatonal Sarmiento 130, Mendoza , Argentina</t>
  </si>
  <si>
    <t>Peatonal Sarmiento 290</t>
  </si>
  <si>
    <t>Peatonal Sarmiento 290 local izquierda</t>
  </si>
  <si>
    <t>Peatonal Sarmiento 290, Mendoza , Argentina</t>
  </si>
  <si>
    <t>KOXIS</t>
  </si>
  <si>
    <t>39,78373;-100,445882;Peatonal Sarmiento 290, Mendoza , Argentina;US;</t>
  </si>
  <si>
    <t>Peatonal Sarmiento 126</t>
  </si>
  <si>
    <t>Peatonal Sarmiento 126, Mendoza , Argentina</t>
  </si>
  <si>
    <t>MEDIFÉ</t>
  </si>
  <si>
    <t>Arístides Villanueva 201</t>
  </si>
  <si>
    <t>Arístides Villanueva 201, Mendoza , Argentina</t>
  </si>
  <si>
    <t>-32,892506;-68,853196;Arístides Villanueva 201, Mendoza , Argentina;Arístides Villanueva 201, Ciudad de Mendoza, Sección 5ª Residencial Sur, Mendoza, AR;</t>
  </si>
  <si>
    <t>Peatonal Sarmiento 104</t>
  </si>
  <si>
    <t>Peatonal Sarmiento 104, Mendoza , Argentina</t>
  </si>
  <si>
    <t>LOMBARDOZZI</t>
  </si>
  <si>
    <t>Peatonal Sarmiento 98</t>
  </si>
  <si>
    <t>Arístides Villanueva 156</t>
  </si>
  <si>
    <t>Peatonal Sarmiento 98, Mendoza , Argentina</t>
  </si>
  <si>
    <t>Arístides Villanueva 156, Mendoza , Argentina</t>
  </si>
  <si>
    <t>-32,892827;-68,852534;Arístides Villanueva 156, Mendoza , Argentina;Arístides Villanueva 156, Ciudad de Mendoza, Sección 5ª Residencial Sur, Mendoza, AR;</t>
  </si>
  <si>
    <t>Peatonal Sarmiento 72</t>
  </si>
  <si>
    <t>Peatonal Sarmiento 72, Mendoza , Argentina</t>
  </si>
  <si>
    <t>Peatonal Sarmiento 42</t>
  </si>
  <si>
    <t>Peatonal Sarmiento 42, Mendoza , Argentina</t>
  </si>
  <si>
    <t>DENTUS</t>
  </si>
  <si>
    <t>Av. San Martín 2117</t>
  </si>
  <si>
    <t>Av. San Martín 2117, Mendoza , Argentina</t>
  </si>
  <si>
    <t>Arístides Villanueva 109</t>
  </si>
  <si>
    <t>Arístides Villanueva 109, Mendoza , Argentina</t>
  </si>
  <si>
    <t>-32,885271;-68,83804;Av, San Martín 2117, Mendoza , Argentina;Avenida San Martín, Ciudad de Mendoza, Sección 3ª Parque O'Higgins, Mendoza, AR;</t>
  </si>
  <si>
    <t>MOGLIE FIESTA</t>
  </si>
  <si>
    <t>Arístides Villanueva 179</t>
  </si>
  <si>
    <t>Av. Colón 356 local derecha</t>
  </si>
  <si>
    <t>Arístides Villanueva 179, Mendoza , Argentina</t>
  </si>
  <si>
    <t>Arístides Villanueva 415</t>
  </si>
  <si>
    <t>OSPIAD</t>
  </si>
  <si>
    <t>Arístides Villanueva 415, Mendoza , Argentina</t>
  </si>
  <si>
    <t>Av. San Martín 2252</t>
  </si>
  <si>
    <t>Av. San Martín 2252, Mendoza , Argentina</t>
  </si>
  <si>
    <t>-32,885271;-68,83804;Av, San Martín 2252, Mendoza , Argentina;Avenida San Martín, Ciudad de Mendoza, Sección 3ª Parque O'Higgins, Mendoza, AR;</t>
  </si>
  <si>
    <t>Arístides Villanueva 687</t>
  </si>
  <si>
    <t>Arístides Villanueva 687, Mendoza , Argentina</t>
  </si>
  <si>
    <t>PISSOLINO</t>
  </si>
  <si>
    <t>Av. Las Heras 74</t>
  </si>
  <si>
    <t>Av. Colón 157</t>
  </si>
  <si>
    <t>Av. Colón 157, Mendoza , Argentina</t>
  </si>
  <si>
    <t>-32,894025;-68,845681;Av, Colón 157, Mendoza , Argentina;Avenida Colón, Ciudad de Mendoza, Sección 2ª Barrio Cívico, Mendoza, AR;</t>
  </si>
  <si>
    <t>Arístides Villanueva 668</t>
  </si>
  <si>
    <t>Av. Las Heras 90</t>
  </si>
  <si>
    <t>Arístides Villanueva 668, Mendoza , Argentina</t>
  </si>
  <si>
    <t>OSDEPYM</t>
  </si>
  <si>
    <t>VAYPOL</t>
  </si>
  <si>
    <t>Av. Colón 163</t>
  </si>
  <si>
    <t>Arístides Villanueva 570</t>
  </si>
  <si>
    <t>Av. Colón 163 local derecha</t>
  </si>
  <si>
    <t>Av. Las Heras 129</t>
  </si>
  <si>
    <t>Arístides Villanueva 570, Mendoza , Argentina</t>
  </si>
  <si>
    <t>Av. Colón 163, Mendoza , Argentina</t>
  </si>
  <si>
    <t>-32,894025;-68,845681;Av, Colón 163, Mendoza , Argentina;Avenida Colón, Ciudad de Mendoza, Sección 2ª Barrio Cívico, Mendoza, AR;</t>
  </si>
  <si>
    <t>COSITAS</t>
  </si>
  <si>
    <t>Arístides Villanueva 412</t>
  </si>
  <si>
    <t>Av. Las Heras 161</t>
  </si>
  <si>
    <t>Arístides Villanueva 412, Mendoza , Argentina</t>
  </si>
  <si>
    <t>Arístides Villanueva 396</t>
  </si>
  <si>
    <t>Av. Las Heras 162</t>
  </si>
  <si>
    <t>Arístides Villanueva 396, Mendoza , Argentina</t>
  </si>
  <si>
    <t>SALUD CAPILAR</t>
  </si>
  <si>
    <t>Av. Colón 235</t>
  </si>
  <si>
    <t>Arístides Villanueva 362</t>
  </si>
  <si>
    <t>Av. Las Heras 311 local derecha</t>
  </si>
  <si>
    <t>Av. Colón 235, Mendoza , Argentina</t>
  </si>
  <si>
    <t>Arístides Villanueva 362, Mendoza , Argentina</t>
  </si>
  <si>
    <t>-32,894025;-68,845681;Av, Colón 235, Mendoza , Argentina;Avenida Colón, Ciudad de Mendoza, Sección 2ª Barrio Cívico, Mendoza, AR;</t>
  </si>
  <si>
    <t>NAIRA</t>
  </si>
  <si>
    <t>Av. Las Heras 190</t>
  </si>
  <si>
    <t>Arístides Villanueva 334</t>
  </si>
  <si>
    <t>Arístides Villanueva 334, Mendoza , Argentina</t>
  </si>
  <si>
    <t>MEDICINA POR IMÁGENES</t>
  </si>
  <si>
    <t>Av. Colón 351</t>
  </si>
  <si>
    <t>HOTEL MERCEDITAS</t>
  </si>
  <si>
    <t>Av. Colón 351, Mendoza , Argentina</t>
  </si>
  <si>
    <t>Arístides Villanueva 252</t>
  </si>
  <si>
    <t>-32,894025;-68,845681;Av, Colón 351, Mendoza , Argentina;Avenida Colón, Ciudad de Mendoza, Sección 2ª Barrio Cívico, Mendoza, AR;</t>
  </si>
  <si>
    <t>Av. Las Heras 208</t>
  </si>
  <si>
    <t>Arístides Villanueva 252, Mendoza , Argentina</t>
  </si>
  <si>
    <t>MAXIMILIANO CALZADOS</t>
  </si>
  <si>
    <t>Arístides Villanueva 190</t>
  </si>
  <si>
    <t>Arístides Villanueva 190, Mendoza , Argentina</t>
  </si>
  <si>
    <t>SCARLET</t>
  </si>
  <si>
    <t>OSEP</t>
  </si>
  <si>
    <t>Arístides Villanueva 172</t>
  </si>
  <si>
    <t>Av. Las Heras 231 local derecha</t>
  </si>
  <si>
    <t>Av. Colón 485</t>
  </si>
  <si>
    <t>Arístides Villanueva 172, Mendoza , Argentina</t>
  </si>
  <si>
    <t>Av. Colón 485, Mendoza , Argentina</t>
  </si>
  <si>
    <t>-32,89377;-68,846573;Av, Colón 485, Mendoza , Argentina;Avenida Colón 485, Ciudad de Mendoza, Sección 2ª Barrio Cívico, Mendoza, AR;</t>
  </si>
  <si>
    <t>DON OTTO</t>
  </si>
  <si>
    <t>Arístides Villanueva 154</t>
  </si>
  <si>
    <t>Av. Las Heras 242</t>
  </si>
  <si>
    <t>Arístides Villanueva 154, Mendoza , Argentina</t>
  </si>
  <si>
    <t>CUERO ARGENTINO</t>
  </si>
  <si>
    <t>Arístides Villanueva 128</t>
  </si>
  <si>
    <t>Av. Las Heras 257</t>
  </si>
  <si>
    <t>Arístides Villanueva 128, Mendoza , Argentina</t>
  </si>
  <si>
    <t>MC DONALDS</t>
  </si>
  <si>
    <t>CLÍNICA FRANCESA</t>
  </si>
  <si>
    <t>Av. Colón 547</t>
  </si>
  <si>
    <t>Av. Colón 385</t>
  </si>
  <si>
    <t>Av. Colón 547, Mendoza , Argentina</t>
  </si>
  <si>
    <t>-32,894025;-68,845681;Av, Colón 547, Mendoza , Argentina;Avenida Colón, Ciudad de Mendoza, Sección 2ª Barrio Cívico, Mendoza, AR;</t>
  </si>
  <si>
    <t>Av. San Martín 1221</t>
  </si>
  <si>
    <t>Av. San Martín 1221, Mendoza , Argentina</t>
  </si>
  <si>
    <t>JULIO EDGARDO MENGONI</t>
  </si>
  <si>
    <t>Av. San Martín 1311</t>
  </si>
  <si>
    <t>Av. Colón 309</t>
  </si>
  <si>
    <t>Av. San Martín 1311, Mendoza , Argentina</t>
  </si>
  <si>
    <t>CENTRO DE REPRODUCCIÓN DEL OESTE</t>
  </si>
  <si>
    <t>Av. Colón 569</t>
  </si>
  <si>
    <t>Av. Colón 569, Mendoza , Argentina</t>
  </si>
  <si>
    <t>-32,894025;-68,845681;Av, Colón 569, Mendoza , Argentina;Avenida Colón, Ciudad de Mendoza, Sección 2ª Barrio Cívico, Mendoza, AR;</t>
  </si>
  <si>
    <t>AGUSTINA</t>
  </si>
  <si>
    <t>Av. San Martín 1455</t>
  </si>
  <si>
    <t>Av. San Martín 1455, Mendoza , Argentina</t>
  </si>
  <si>
    <t>Av. San Martín 1403</t>
  </si>
  <si>
    <t>Espejo 8</t>
  </si>
  <si>
    <t>Av. San Martín 1403, Mendoza , Argentina</t>
  </si>
  <si>
    <t>SWISS MEDICAL</t>
  </si>
  <si>
    <t>Av. Colón 653 local 1</t>
  </si>
  <si>
    <t>-32,893363;-68,84862;Av, Colón 653, Mendoza , Argentina;Avenida Colón 653, Ciudad de Mendoza, Sección 2ª Barrio Cívico, Mendoza, AR;</t>
  </si>
  <si>
    <t>SEAQUEST</t>
  </si>
  <si>
    <t>Av. San Martín 1535</t>
  </si>
  <si>
    <t>Espejo 259</t>
  </si>
  <si>
    <t>Av. San Martín 1535, Mendoza , Argentina</t>
  </si>
  <si>
    <t>SOLEDAD</t>
  </si>
  <si>
    <t>A. San martín 1515</t>
  </si>
  <si>
    <t>A. San martín 1515, Mendoza , Argentina</t>
  </si>
  <si>
    <t>MEDICUS</t>
  </si>
  <si>
    <t>IRIS LENCERÍA</t>
  </si>
  <si>
    <t>Av. Colón 782</t>
  </si>
  <si>
    <t>Av. Colón 782 local izquierda</t>
  </si>
  <si>
    <t>Av. San Martín 1616</t>
  </si>
  <si>
    <t>Espejo 77 local derecha</t>
  </si>
  <si>
    <t>Av. Colón 782, Mendoza , Argentina</t>
  </si>
  <si>
    <t>Av. San Martín 1616, Mendoza , Argentina</t>
  </si>
  <si>
    <t>-32,893214;-68,850516;Av, Colón 782, Mendoza , Argentina;Avenida Colón 782, Ciudad de Mendoza, Sección 5ª Residencial Sur, Mendoza, AR;</t>
  </si>
  <si>
    <t>Av. San Martín 1612</t>
  </si>
  <si>
    <t>Espejo 77 local izquierda</t>
  </si>
  <si>
    <t>Av. San Martín 1612, Mendoza , Argentina</t>
  </si>
  <si>
    <t>CONSOLATO REPUBLICA DI SAN MARINO</t>
  </si>
  <si>
    <t>Av. San Martín 1608</t>
  </si>
  <si>
    <t>Espejo 79</t>
  </si>
  <si>
    <t>Av. San Martín 1608, Mendoza , Argentina</t>
  </si>
  <si>
    <t>SERES MEDICINA PRIVADA</t>
  </si>
  <si>
    <t>Av. Colón 646, Mendoza , Argentina</t>
  </si>
  <si>
    <t>Espejo 151</t>
  </si>
  <si>
    <t>-32,893514;-68,848797;Av, Colón 646, Mendoza , Argentina;Avenida Colón 646, Ciudad de Mendoza, Sección 2ª Barrio Cívico, Mendoza, AR;</t>
  </si>
  <si>
    <t>ANDESMAR</t>
  </si>
  <si>
    <t>Av. San Martín 1550</t>
  </si>
  <si>
    <t>Espejo 189</t>
  </si>
  <si>
    <t>Av. San Martín 1550, Mendoza , Argentina</t>
  </si>
  <si>
    <t>CAFÉ ÉBANO</t>
  </si>
  <si>
    <t>General Paz 6</t>
  </si>
  <si>
    <t>Av. Colón 430 local izquierda</t>
  </si>
  <si>
    <t>General Paz 6, Mendoza , Argentina</t>
  </si>
  <si>
    <t>ACONCAGUA ORTOPEDIA</t>
  </si>
  <si>
    <t>Av. San Martín 1424</t>
  </si>
  <si>
    <t>Av. Colón 532</t>
  </si>
  <si>
    <t>Av. Colón 518 local izquierda</t>
  </si>
  <si>
    <t>Av. San Martín 1424, Mendoza , Argentina</t>
  </si>
  <si>
    <t>-32,893813;-68,847233;Av, Colón 518, Mendoza , Argentina;Avenida Colón 518, Ciudad de Mendoza, Sección 2ª Barrio Cívico, Mendoza, AR;</t>
  </si>
  <si>
    <t>YPF</t>
  </si>
  <si>
    <t>OTROS RUBROS</t>
  </si>
  <si>
    <t>Bienes y servicios para el automotor</t>
  </si>
  <si>
    <t>Juan B. Justo y Boulogne Sur Mer</t>
  </si>
  <si>
    <t>Juan B. Justo y Boulogne Sur Mer , Mendoza , Argentina</t>
  </si>
  <si>
    <t>Av. Colón 350</t>
  </si>
  <si>
    <t>Av. Colón 350, Mendoza , Argentina</t>
  </si>
  <si>
    <t>39,78373;-100,445882;Juan B, Justo y Boulogne Sur Mer , Mendoza , Argentina;US;</t>
  </si>
  <si>
    <t>-32,894025;-68,845681;Av, Colón 350, Mendoza , Argentina;Avenida Colón, Ciudad de Mendoza, Sección 2ª Barrio Cívico, Mendoza, AR;</t>
  </si>
  <si>
    <t>Av. San Martín 1428</t>
  </si>
  <si>
    <t>Av. San Martín 1428, Mendoza , Argentina</t>
  </si>
  <si>
    <t>ESCRIBANÍA MENDOZA</t>
  </si>
  <si>
    <t>Av. San Martín 1386</t>
  </si>
  <si>
    <t>Av. Colón 664</t>
  </si>
  <si>
    <t>Av. San Martín 1386, Mendoza , Argentina</t>
  </si>
  <si>
    <t>Av. San Martín 1236</t>
  </si>
  <si>
    <t>Av. Colón 670</t>
  </si>
  <si>
    <t>CIPPI VACUNATORIO</t>
  </si>
  <si>
    <t>Av. Colón 284</t>
  </si>
  <si>
    <t>Av. San Martín 1236, Mendoza , Argentina</t>
  </si>
  <si>
    <t>Av. Colón 284, Mendoza , Argentina</t>
  </si>
  <si>
    <t>-32,894025;-68,845681;Av, Colón 284, Mendoza , Argentina;Avenida Colón, Ciudad de Mendoza, Sección 2ª Barrio Cívico, Mendoza, AR;</t>
  </si>
  <si>
    <t>ALL PRINT</t>
  </si>
  <si>
    <t>Av. San Martín 1056</t>
  </si>
  <si>
    <t>Av. Colón 189D local derecha</t>
  </si>
  <si>
    <t>Av. San Martín 1056, Mendoza , Argentina</t>
  </si>
  <si>
    <t>BETY MUJER</t>
  </si>
  <si>
    <t>Av. San Martín 1613</t>
  </si>
  <si>
    <t>España 1169 local derecha</t>
  </si>
  <si>
    <t>Av. San Martín 1613, Mendoza , Argentina</t>
  </si>
  <si>
    <t>ANDES SALUD</t>
  </si>
  <si>
    <t>-32,894025;-68,845681;Av, Colón 102, Mendoza , Argentina;Avenida Colón, Ciudad de Mendoza, Sección 2ª Barrio Cívico, Mendoza, AR;</t>
  </si>
  <si>
    <t>ALTO VERONA</t>
  </si>
  <si>
    <t>Juan B. Justo 264</t>
  </si>
  <si>
    <t>Juan B. Justo 264, Mendoza , Argentina</t>
  </si>
  <si>
    <t>-32,906863;-68,847307;Juan B, Justo 264, Mendoza , Argentina;Juan B, Justo 264, Villa Mercedes, Departamento Godoy Cruz, Mendoza, AR;</t>
  </si>
  <si>
    <t>Espejo 151, Mendoza , Argentina</t>
  </si>
  <si>
    <t>-32,887937;-68,84806;Espejo 151, Mendoza , Argentina;Espejo, Ciudad de Mendoza, Sección 2ª Barrio Cívico, Mendoza, AR;</t>
  </si>
  <si>
    <t>A.C.A.</t>
  </si>
  <si>
    <t>EL CAFÉ DE SIEMPRE</t>
  </si>
  <si>
    <t>Av. San Martín 985</t>
  </si>
  <si>
    <t>España 1241</t>
  </si>
  <si>
    <t>Av. San Martín 985, Mendoza , Argentina</t>
  </si>
  <si>
    <t>-32,891999;-68,839717;Av, San Martín 985, Mendoza , Argentina;Avenida San Martín 985, Mendoza, Sección 2ª Barrio Cívico, Mendoza, AR;</t>
  </si>
  <si>
    <t>OMINT</t>
  </si>
  <si>
    <t>Espejo 291</t>
  </si>
  <si>
    <t>Espejo 291, Mendoza , Argentina</t>
  </si>
  <si>
    <t>CREACIONES AMANECER</t>
  </si>
  <si>
    <t>-32,888641;-68,844186;Espejo 291, Mendoza , Argentina;Espejo, Ciudad de Mendoza, Sección 2ª Barrio Cívico, Mendoza, AR;</t>
  </si>
  <si>
    <t>Av. San Martín 1804</t>
  </si>
  <si>
    <t>España 1695</t>
  </si>
  <si>
    <t>Av. San Martín 1804, Mendoza , Argentina</t>
  </si>
  <si>
    <t>NATIVO</t>
  </si>
  <si>
    <t>Av. San Martín 1732</t>
  </si>
  <si>
    <t>España 1581 local izq.; izq.</t>
  </si>
  <si>
    <t>Av. San Martín 1732, Mendoza , Argentina</t>
  </si>
  <si>
    <t>CITROEN</t>
  </si>
  <si>
    <t>Av. San Martín 1993</t>
  </si>
  <si>
    <t>Av. San Martín 1993, Mendoza , Argentina</t>
  </si>
  <si>
    <t>ARITEX</t>
  </si>
  <si>
    <t>Av. Las Heras 23</t>
  </si>
  <si>
    <t>-32,904737;-68,843036;Av, San Martín 1993, Mendoza , Argentina;Avenida San Martín 1993, General Espejo, Departamento Godoy Cruz, Mendoza, AR;</t>
  </si>
  <si>
    <t>Av. Las Heras 23, Mendoza , Argentina</t>
  </si>
  <si>
    <t>Av. Las Heras 45</t>
  </si>
  <si>
    <t>9 de Julio 1126 Dpto 29-30-31</t>
  </si>
  <si>
    <t>Av. Las Heras 45, Mendoza , Argentina</t>
  </si>
  <si>
    <t>GMF</t>
  </si>
  <si>
    <t>9 de Julio 1126 Dpto 5</t>
  </si>
  <si>
    <t>CONI</t>
  </si>
  <si>
    <t>LAVADERO SAN MARTÍN</t>
  </si>
  <si>
    <t>Godoy Cruz 187</t>
  </si>
  <si>
    <t>Av. San Martín 2360</t>
  </si>
  <si>
    <t>CE FINANCIAL GROUP</t>
  </si>
  <si>
    <t>Godoy Cruz 187, Mendoza , Argentina</t>
  </si>
  <si>
    <t>Av. San Martín 2360, Mendoza , Argentina</t>
  </si>
  <si>
    <t>Av. Las Heras 55</t>
  </si>
  <si>
    <t>-34,979176;-67,688023;Godoy Cruz 187, Mendoza , Argentina;Godoy Cruz, General Alvear, Distrito Ciudad de General Alvear, Mendoza, AR;</t>
  </si>
  <si>
    <t>9 de Julio 1126 Dpto 2 local derecha</t>
  </si>
  <si>
    <t>Av. Las Heras 55, Mendoza , Argentina</t>
  </si>
  <si>
    <t>-32,885271;-68,83804;Av, San Martín 2360, Mendoza , Argentina;Avenida San Martín, Ciudad de Mendoza, Sección 3ª Parque O'Higgins, Mendoza, AR;</t>
  </si>
  <si>
    <t>9 de July 1068</t>
  </si>
  <si>
    <t>CLÍNICA GODOY CRUZ</t>
  </si>
  <si>
    <t>Godoy Cruz 333</t>
  </si>
  <si>
    <t>Godoy Cruz 333, Mendoza , Argentina</t>
  </si>
  <si>
    <t>CASA ANDY</t>
  </si>
  <si>
    <t>MAB AUTO</t>
  </si>
  <si>
    <t>-34,979176;-67,688023;Godoy Cruz 333, Mendoza , Argentina;Godoy Cruz, General Alvear, Distrito Ciudad de General Alvear, Mendoza, AR;</t>
  </si>
  <si>
    <t>Av. San Martín 2114</t>
  </si>
  <si>
    <t>Av. San Martín 2114, Mendoza , Argentina</t>
  </si>
  <si>
    <t>-32,885271;-68,83804;Av, San Martín 2114, Mendoza , Argentina;Avenida San Martín, Ciudad de Mendoza, Sección 3ª Parque O'Higgins, Mendoza, AR;</t>
  </si>
  <si>
    <t>CASA YAMIAN</t>
  </si>
  <si>
    <t>Av. Las Heras 177</t>
  </si>
  <si>
    <t>9 de July 0917</t>
  </si>
  <si>
    <t>Av. Las Heras 177, Mendoza , Argentina</t>
  </si>
  <si>
    <t>OWOKO</t>
  </si>
  <si>
    <t>Av. Las Heras 187</t>
  </si>
  <si>
    <t>BICI CORSA</t>
  </si>
  <si>
    <t>Av. San Martín 2102</t>
  </si>
  <si>
    <t>9 de July 0923</t>
  </si>
  <si>
    <t>Av. Las Heras 187, Mendoza , Argentina</t>
  </si>
  <si>
    <t>Av. San Martín 2102, Mendoza , Argentina</t>
  </si>
  <si>
    <t>-32,885271;-68,83804;Av, San Martín 2102, Mendoza , Argentina;Avenida San Martín, Ciudad de Mendoza, Sección 3ª Parque O'Higgins, Mendoza, AR;</t>
  </si>
  <si>
    <t>CLÍNICA DENTAL PALMEIRO</t>
  </si>
  <si>
    <t>Godoy Cruz 440</t>
  </si>
  <si>
    <t>Godoy Cruz 440, Mendoza , Argentina</t>
  </si>
  <si>
    <t>WAITING HERITAGE</t>
  </si>
  <si>
    <t>-34,979176;-67,688023;Godoy Cruz 440, Mendoza , Argentina;Godoy Cruz, General Alvear, Distrito Ciudad de General Alvear, Mendoza, AR;</t>
  </si>
  <si>
    <t>Av. Las Heras 231</t>
  </si>
  <si>
    <t>9 de Julio 1063 Dpto 3</t>
  </si>
  <si>
    <t>Av. Las Heras 231, Mendoza , Argentina</t>
  </si>
  <si>
    <t>MONTEMAR</t>
  </si>
  <si>
    <t>Av. Las Heras 251</t>
  </si>
  <si>
    <t>9 de Julio 1111 local izquierda</t>
  </si>
  <si>
    <t>Av. Las Heras 251, Mendoza , Argentina</t>
  </si>
  <si>
    <t>CAMPAGNA ALARMAS</t>
  </si>
  <si>
    <t>Av. San Martín 2086</t>
  </si>
  <si>
    <t>Av. San Martín 2086, Mendoza , Argentina</t>
  </si>
  <si>
    <t>Av. Las Heras 469</t>
  </si>
  <si>
    <t>CLÍNICA ODONTÓLOGICA
GALERÍA MENDOZA</t>
  </si>
  <si>
    <t>-32,904179;-68,843027;Av, San Martín 2086, Mendoza , Argentina;Avenida San Martín 2086, Ciudad de Mendoza, Sección 2ª Barrio Cívico, Mendoza, AR;</t>
  </si>
  <si>
    <t>San Martín 1360 local 14</t>
  </si>
  <si>
    <t>Av. Las Heras 469, Mendoza , Argentina</t>
  </si>
  <si>
    <t>San Martín 1360 local 14, Mendoza , Argentina</t>
  </si>
  <si>
    <t>39,78373;-100,445882;San Martín 1360 local 14, Mendoza , Argentina;US;</t>
  </si>
  <si>
    <t>MIRAFLORES</t>
  </si>
  <si>
    <t>COPEC GNC</t>
  </si>
  <si>
    <t>Av. San Martín 2006</t>
  </si>
  <si>
    <t>Av. San Martín 2006, Mendoza , Argentina</t>
  </si>
  <si>
    <t>-32,904541;-68,843122;Av, San Martín 2006, Mendoza , Argentina;Avenida San Martín 2006, Ciudad de Mendoza, Sección 2ª Barrio Cívico, Mendoza, AR;</t>
  </si>
  <si>
    <t>BLUE AND PINK</t>
  </si>
  <si>
    <t>Av. Las Heras 688</t>
  </si>
  <si>
    <t>España 967</t>
  </si>
  <si>
    <t>Av. Las Heras 688, Mendoza , Argentina</t>
  </si>
  <si>
    <t>LUZ DE LIMON
GALERÍA RUFO</t>
  </si>
  <si>
    <t>San Martín 1672 local 16</t>
  </si>
  <si>
    <t>San Martín 1672 local 16, Mendoza , Argentina</t>
  </si>
  <si>
    <t>ANNA BELLA</t>
  </si>
  <si>
    <t>Av. Las Heras 542</t>
  </si>
  <si>
    <t>39,78373;-100,445882;San Martín 1672 local 16, Mendoza , Argentina;US;</t>
  </si>
  <si>
    <t>España 1034 local izquierda</t>
  </si>
  <si>
    <t>Av. Las Heras 542, Mendoza , Argentina</t>
  </si>
  <si>
    <t>YAMAHA</t>
  </si>
  <si>
    <t>Av. Las Heras 408</t>
  </si>
  <si>
    <t>Av. Las Heras 403</t>
  </si>
  <si>
    <t>9 de Julio 1673 local derecha</t>
  </si>
  <si>
    <t>Av. Las Heras 408, Mendoza , Argentina</t>
  </si>
  <si>
    <t>Av. Las Heras 403, Mendoza , Argentina</t>
  </si>
  <si>
    <t>-32,885196;-68,844661;Av, Las Heras 403, Mendoza , Argentina;Avenida Las Heras, Ciudad de Mendoza, Sección 1ª Parque Central, Mendoza, AR;</t>
  </si>
  <si>
    <t>NATANIA</t>
  </si>
  <si>
    <t>Av. Las Heras 328</t>
  </si>
  <si>
    <t>9 de July 1557</t>
  </si>
  <si>
    <t>CENTRO AUDITIVO
PASAJE SAN MARTÍN</t>
  </si>
  <si>
    <t>Av. Las Heras 328, Mendoza , Argentina</t>
  </si>
  <si>
    <t>San Martín 1136 local 7</t>
  </si>
  <si>
    <t>San Martín 1136 local 7, Mendoza , Argentina</t>
  </si>
  <si>
    <t>MIU MIU</t>
  </si>
  <si>
    <t>39,78373;-100,445882;San Martín 1136 local 7, Mendoza , Argentina;US;</t>
  </si>
  <si>
    <t>AUTO AUDIO</t>
  </si>
  <si>
    <t>Av. Colón 451</t>
  </si>
  <si>
    <t>Av. Colón 451, Mendoza , Argentina</t>
  </si>
  <si>
    <t>-32,894025;-68,845681;Av, Colón 451, Mendoza , Argentina;Avenida Colón, Ciudad de Mendoza, Sección 2ª Barrio Cívico, Mendoza, AR;</t>
  </si>
  <si>
    <t>Av. Las Heras 354</t>
  </si>
  <si>
    <t>Av. Las Heras 354, Mendoza , Argentina</t>
  </si>
  <si>
    <t>Av. Las Heras 374</t>
  </si>
  <si>
    <t>FONDUS</t>
  </si>
  <si>
    <t>Av. Las Heras 374, Mendoza , Argentina</t>
  </si>
  <si>
    <t>Av. Colón 670, Mendoza , Argentina</t>
  </si>
  <si>
    <t>UMB</t>
  </si>
  <si>
    <t>-32,893474;-68,849019;Av, Colón 670, Mendoza , Argentina;Avenida Colón 670, Ciudad de Mendoza, Sección 2ª Barrio Cívico, Mendoza, AR;</t>
  </si>
  <si>
    <t>Av. Las Heras 278</t>
  </si>
  <si>
    <t>Av. Las Heras 278, Mendoza , Argentina</t>
  </si>
  <si>
    <t>TRES PROVINCIAS SEGUROS</t>
  </si>
  <si>
    <t>Av. Las Heras 282</t>
  </si>
  <si>
    <t>9 de July 1475</t>
  </si>
  <si>
    <t>Av. Las Heras 282, Mendoza , Argentina</t>
  </si>
  <si>
    <t>OICO Z MOTOS</t>
  </si>
  <si>
    <t>Av. Colón 480</t>
  </si>
  <si>
    <t>Av. Las Heras 170</t>
  </si>
  <si>
    <t>Av. Colón 480, Mendoza , Argentina</t>
  </si>
  <si>
    <t>9 de July 0907</t>
  </si>
  <si>
    <t>Av. Las Heras 170, Mendoza , Argentina</t>
  </si>
  <si>
    <t>-32,89392;-68,846778;Av, Colón 480, Mendoza , Argentina;Avenida Colón 480, Ciudad de Mendoza, Sección 2ª Barrio Cívico, Mendoza, AR;</t>
  </si>
  <si>
    <t>Av. Las Heras 186</t>
  </si>
  <si>
    <t>-34,972739;-67,68561;9 de Julio 1562, Mendoza , Argentina;9 de Julio, General Alvear, Distrito Ciudad de General Alvear, Mendoza, AR;</t>
  </si>
  <si>
    <t>Av. Las Heras 186, Mendoza , Argentina</t>
  </si>
  <si>
    <t>SHELL</t>
  </si>
  <si>
    <t>Av. Las Heras 190, Mendoza , Argentina</t>
  </si>
  <si>
    <t>Av. Colón 196</t>
  </si>
  <si>
    <t>Av. Colón 196, Mendoza , Argentina</t>
  </si>
  <si>
    <t>PRINCIPIO</t>
  </si>
  <si>
    <t>Av. Las Heras 198</t>
  </si>
  <si>
    <t>-32,894025;-68,845681;Av, Colón 196, Mendoza , Argentina;Avenida Colón, Ciudad de Mendoza, Sección 2ª Barrio Cívico, Mendoza, AR;</t>
  </si>
  <si>
    <t>España 1632 local medio</t>
  </si>
  <si>
    <t>Av. Las Heras 198, Mendoza , Argentina</t>
  </si>
  <si>
    <t>BONAFIDE</t>
  </si>
  <si>
    <t>Av. Las Heras 70</t>
  </si>
  <si>
    <t>Av. Las Heras 70, Mendoza , Argentina</t>
  </si>
  <si>
    <t>MIMMO  &amp; CO</t>
  </si>
  <si>
    <t>Av. Las Heras 72</t>
  </si>
  <si>
    <t>9 de July 1090</t>
  </si>
  <si>
    <t>Av. Las Heras 72, Mendoza , Argentina</t>
  </si>
  <si>
    <t>GARAGE 22</t>
  </si>
  <si>
    <t>Godoy Cruz 413</t>
  </si>
  <si>
    <t>QUINIELA</t>
  </si>
  <si>
    <t>Godoy Cruz 413, Mendoza , Argentina</t>
  </si>
  <si>
    <t>Av. Las Heras 80</t>
  </si>
  <si>
    <t>-34,979176;-67,688023;Godoy Cruz 413, Mendoza , Argentina;Godoy Cruz, General Alvear, Distrito Ciudad de General Alvear, Mendoza, AR;</t>
  </si>
  <si>
    <t>9 de July 1052</t>
  </si>
  <si>
    <t>Av. Las Heras 80, Mendoza , Argentina</t>
  </si>
  <si>
    <t>NN</t>
  </si>
  <si>
    <t>-34,972739;-67,68561;9 de Julio 1514, Mendoza , Argentina;9 de Julio, General Alvear, Distrito Ciudad de General Alvear, Mendoza, AR;</t>
  </si>
  <si>
    <t>Av. Las Heras 90, Mendoza , Argentina</t>
  </si>
  <si>
    <t>GRETTA</t>
  </si>
  <si>
    <t>Av. Las Heras 98</t>
  </si>
  <si>
    <t>Otros</t>
  </si>
  <si>
    <t>Juan B. Justo 237</t>
  </si>
  <si>
    <t>Av. Las Heras 98, Mendoza , Argentina</t>
  </si>
  <si>
    <t>Juan B. Justo 237, Mendoza , Argentina</t>
  </si>
  <si>
    <t>-32,906779;-68,846862;Juan B, Justo 237, Mendoza , Argentina;Juan B, Justo 237, Villa Mercedes, Departamento Godoy Cruz, Mendoza, AR;</t>
  </si>
  <si>
    <t>Peatonal Sarmiento 59</t>
  </si>
  <si>
    <t>SUBWAY</t>
  </si>
  <si>
    <t>Av. Colón 323</t>
  </si>
  <si>
    <t>Peatonal Sarmiento 219</t>
  </si>
  <si>
    <t>Av. Colón 323, Mendoza , Argentina</t>
  </si>
  <si>
    <t>CORREO OCA</t>
  </si>
  <si>
    <t>Av. Colón 586</t>
  </si>
  <si>
    <t>Av. Sarmiento 675 local derecha</t>
  </si>
  <si>
    <t>Juan B. Justo 130</t>
  </si>
  <si>
    <t>Av. Colón 586, Mendoza , Argentina</t>
  </si>
  <si>
    <t>Juan B. Justo 130, Mendoza , Argentina</t>
  </si>
  <si>
    <t>-34,972739;-67,68561;9 de julio 1495, Mendoza , Argentina;9 de Julio, General Alvear, Distrito Ciudad de General Alvear, Mendoza, AR;</t>
  </si>
  <si>
    <t>-32,90706;-68,845599;Juan B, Justo 130, Mendoza , Argentina;Juan B, Justo 130, Villa Mercedes, Departamento Godoy Cruz, Mendoza, AR;</t>
  </si>
  <si>
    <t>RIO AVENTURA MENDOZA</t>
  </si>
  <si>
    <t>Av. Colón 474</t>
  </si>
  <si>
    <t>Av. Sarmiento 784 local derecha</t>
  </si>
  <si>
    <t>Av. Colón 474, Mendoza , Argentina</t>
  </si>
  <si>
    <t>SIMONE</t>
  </si>
  <si>
    <t>Av. Colón 454</t>
  </si>
  <si>
    <t>Av. Colón 454, Mendoza , Argentina</t>
  </si>
  <si>
    <t>39,78373;-100,445882;Peatonal Sarmiento y España , Mendoza , Argentina;US;</t>
  </si>
  <si>
    <t>Av. Colón 356</t>
  </si>
  <si>
    <t>Av. Colón 356, Mendoza , Argentina</t>
  </si>
  <si>
    <t>Av. Colón 354</t>
  </si>
  <si>
    <t>Av. Colón 354, Mendoza , Argentina</t>
  </si>
  <si>
    <t>Juan B. Justo 32</t>
  </si>
  <si>
    <t>Juan B. Justo 32, Mendoza , Argentina</t>
  </si>
  <si>
    <t>-32,907226;-68,844289;Juan B, Justo 32, Mendoza , Argentina;Juan B, Justo 32, Villa Mercedes, Departamento Godoy Cruz, Mendoza, AR;</t>
  </si>
  <si>
    <t>-32,890424;-68,840714;Peatonal Sarmiento 227, Mendoza , Argentina;Sarmiento, Ciudad de Mendoza, Sección 3ª Parque O'Higgins, Mendoza, AR;</t>
  </si>
  <si>
    <t>BE YOU ACCESORIOS</t>
  </si>
  <si>
    <t>Espejo 47, Mendoza , Argentina</t>
  </si>
  <si>
    <t>Espejo 51</t>
  </si>
  <si>
    <t>Espejo 51, Mendoza , Argentina</t>
  </si>
  <si>
    <t>9 de July 1664</t>
  </si>
  <si>
    <t>9 de Julio 1664 local izquierda</t>
  </si>
  <si>
    <t>9 de Julio 1664, Mendoza , Argentina</t>
  </si>
  <si>
    <t>-34,972739;-67,68561;9 de Julio 1664, Mendoza , Argentina;9 de Julio, General Alvear, Distrito Ciudad de General Alvear, Mendoza, AR;</t>
  </si>
  <si>
    <t>Espejo 63</t>
  </si>
  <si>
    <t>Espejo 63, Mendoza , Argentina</t>
  </si>
  <si>
    <t>-32,886465;-68,838402;Av, San Martín 1498, Mendoza , Argentina;Avenida San Martín 1498, Ciudad de Mendoza, Sección 3ª Parque O'Higgins, Mendoza, AR;</t>
  </si>
  <si>
    <t>Espejo 77</t>
  </si>
  <si>
    <t>Espejo 77, Mendoza , Argentina</t>
  </si>
  <si>
    <t>YAGMOUR</t>
  </si>
  <si>
    <t>ANDALUCIA</t>
  </si>
  <si>
    <t>Espejo 185</t>
  </si>
  <si>
    <t>9 de Julio 1052, Mendoza , Argentina</t>
  </si>
  <si>
    <t>Espejo 185, Mendoza , Argentina</t>
  </si>
  <si>
    <t>-34,972739;-67,68561;9 de Julio 1052, Mendoza , Argentina;9 de Julio, General Alvear, Distrito Ciudad de General Alvear, Mendoza, AR;</t>
  </si>
  <si>
    <t>-32,891336;-68,839691;Av, San Martín 1040, Mendoza , Argentina;Avenida San Martín 1040, Ciudad de Mendoza, Sección 3ª Parque O'Higgins, Mendoza, AR;</t>
  </si>
  <si>
    <t>KAZANDRA</t>
  </si>
  <si>
    <t>Espejo 188</t>
  </si>
  <si>
    <t>Espejo 188, Mendoza , Argentina</t>
  </si>
  <si>
    <t>Espejo 172</t>
  </si>
  <si>
    <t>Espejo 172, Mendoza , Argentina</t>
  </si>
  <si>
    <t>COLIFATA</t>
  </si>
  <si>
    <t>Espejo 160</t>
  </si>
  <si>
    <t>Espejo 160, Mendoza , Argentina</t>
  </si>
  <si>
    <t>39,78373;-100,445882;Av, San Martín 1070 local 11, Mendoza , Argentina;US;</t>
  </si>
  <si>
    <t>SOLO PARA DIVAS</t>
  </si>
  <si>
    <t>Espejo 118</t>
  </si>
  <si>
    <t>Espejo 118, Mendoza , Argentina</t>
  </si>
  <si>
    <t>CERRAJERÍA TICLI</t>
  </si>
  <si>
    <t>9 de July 1693</t>
  </si>
  <si>
    <t>Espejo 112</t>
  </si>
  <si>
    <t>9 de Julio 1693, Mendoza , Argentina</t>
  </si>
  <si>
    <t>Espejo 112, Mendoza , Argentina</t>
  </si>
  <si>
    <t>-34,972739;-67,68561;9 de Julio 1693, Mendoza , Argentina;9 de Julio, General Alvear, Distrito Ciudad de General Alvear, Mendoza, AR;</t>
  </si>
  <si>
    <t>Espejo 102</t>
  </si>
  <si>
    <t>Espejo 102, Mendoza , Argentina</t>
  </si>
  <si>
    <t>39,78373;-100,445882;9 de Julio y Av, Las Heras 101, Mendoza , Argentina;US;</t>
  </si>
  <si>
    <t>Espejo 98</t>
  </si>
  <si>
    <t>Espejo 98, Mendoza , Argentina</t>
  </si>
  <si>
    <t>5 A SEC</t>
  </si>
  <si>
    <t>WRANGLER</t>
  </si>
  <si>
    <t>Arístides Villanueva 376</t>
  </si>
  <si>
    <t>Espejo 80</t>
  </si>
  <si>
    <t>Arístides Villanueva 376, Mendoza , Argentina</t>
  </si>
  <si>
    <t>Espejo 80, Mendoza , Argentina</t>
  </si>
  <si>
    <t>-32,892167;-68,85618;Arístides Villanueva 376, Mendoza , Argentina;Arístides Villanueva 376, Ciudad de Mendoza, Sección 5ª Residencial Sur, Mendoza, AR;</t>
  </si>
  <si>
    <t>HORACIO TESORO</t>
  </si>
  <si>
    <t>Espejo 64</t>
  </si>
  <si>
    <t>Espejo 64, Mendoza , Argentina</t>
  </si>
  <si>
    <t>-32,894025;-68,845681;Av, Colón 307, Mendoza , Argentina;Avenida Colón, Ciudad de Mendoza, Sección 2ª Barrio Cívico, Mendoza, AR;</t>
  </si>
  <si>
    <t>Espejo 62</t>
  </si>
  <si>
    <t>DIRECTV</t>
  </si>
  <si>
    <t>Espejo 62, Mendoza , Argentina</t>
  </si>
  <si>
    <t>Av. San Martín 912</t>
  </si>
  <si>
    <t>Av. San Martín 912, Mendoza , Argentina</t>
  </si>
  <si>
    <t>-32,892607;-68,840015;Av, San Martín 912, Mendoza , Argentina;Avenida San Martín 912, Mendoza, Sección 2ª Barrio Cívico, Mendoza, AR;</t>
  </si>
  <si>
    <t>LEO CUT</t>
  </si>
  <si>
    <t>Espejo 50</t>
  </si>
  <si>
    <t>Espejo 50, Mendoza , Argentina</t>
  </si>
  <si>
    <t>CREACIONES ANA</t>
  </si>
  <si>
    <t>Godoy Cruz 198</t>
  </si>
  <si>
    <t>Av. San Martín 2147</t>
  </si>
  <si>
    <t>Godoy Cruz 198, Mendoza , Argentina</t>
  </si>
  <si>
    <t>Av. San Martín 2147, Mendoza , Argentina</t>
  </si>
  <si>
    <t>-32,885271;-68,83804;Av, San Martín 2147, Mendoza , Argentina;Avenida San Martín, Ciudad de Mendoza, Sección 3ª Parque O'Higgins, Mendoza, AR;</t>
  </si>
  <si>
    <t>-32,894025;-68,845681;Av, Colón 423, Mendoza , Argentina;Avenida Colón, Ciudad de Mendoza, Sección 2ª Barrio Cívico, Mendoza, AR;</t>
  </si>
  <si>
    <t>Godoy Cruz 38</t>
  </si>
  <si>
    <t>Godoy Cruz 38, Mendoza , Argentina</t>
  </si>
  <si>
    <t>Godoy Cruz 32</t>
  </si>
  <si>
    <t>Godoy Cruz 32, Mendoza , Argentina</t>
  </si>
  <si>
    <t>Godoy Cruz 28</t>
  </si>
  <si>
    <t>Godoy Cruz 28, Mendoza , Argentina</t>
  </si>
  <si>
    <t>Godoy Cruz 16</t>
  </si>
  <si>
    <t>Av. Las Heras 333</t>
  </si>
  <si>
    <t>Godoy Cruz 16, Mendoza , Argentina</t>
  </si>
  <si>
    <t>Av. Las Heras 333, Mendoza , Argentina</t>
  </si>
  <si>
    <t>-32,885555;-68,842498;Av, Las Heras 333, Mendoza , Argentina;Avenida Las Heras 333, Ciudad de Mendoza, Sección 1ª Parque Central, Mendoza, AR;</t>
  </si>
  <si>
    <t>General Paz 198</t>
  </si>
  <si>
    <t>-32,894025;-68,845681;Av, Colón 665, Mendoza , Argentina;Avenida Colón, Ciudad de Mendoza, Sección 2ª Barrio Cívico, Mendoza, AR;</t>
  </si>
  <si>
    <t>General Paz 198, Mendoza , Argentina</t>
  </si>
  <si>
    <t>España 1632</t>
  </si>
  <si>
    <t>Av. Las Heras 441</t>
  </si>
  <si>
    <t>España 1632, Mendoza , Argentina</t>
  </si>
  <si>
    <t>Av. Las Heras 441, Mendoza , Argentina</t>
  </si>
  <si>
    <t>-32,885196;-68,844661;Av, Las Heras 441, Mendoza , Argentina;Avenida Las Heras, Ciudad de Mendoza, Sección 1ª Parque Central, Mendoza, AR;</t>
  </si>
  <si>
    <t>España 1650</t>
  </si>
  <si>
    <t>España 1650, Mendoza , Argentina</t>
  </si>
  <si>
    <t>-32,887937;-68,84806;Espejo 101, Mendoza , Argentina;Espejo, Ciudad de Mendoza, Sección 2ª Barrio Cívico, Mendoza, AR;</t>
  </si>
  <si>
    <t>España 1510</t>
  </si>
  <si>
    <t>España 1510, Mendoza , Argentina</t>
  </si>
  <si>
    <t>ADARA</t>
  </si>
  <si>
    <t>Av. Las Heras 680</t>
  </si>
  <si>
    <t>Av. Las Heras 680, Mendoza , Argentina</t>
  </si>
  <si>
    <t>-32,884841;-68,846876;Av, Las Heras 680, Mendoza , Argentina;Avenida Las Heras 680, Ciudad de Mendoza, Sección 1ª Parque Central, Mendoza, AR;</t>
  </si>
  <si>
    <t>España 1028</t>
  </si>
  <si>
    <t>España 1028, Mendoza , Argentina</t>
  </si>
  <si>
    <t>-32,887937;-68,84806;Espejo 109, Mendoza , Argentina;Espejo, Ciudad de Mendoza, Sección 2ª Barrio Cívico, Mendoza, AR;</t>
  </si>
  <si>
    <t>España 998</t>
  </si>
  <si>
    <t>España 998, Mendoza , Argentina</t>
  </si>
  <si>
    <t>España 967, Mendoza , Argentina</t>
  </si>
  <si>
    <t>Av. Las Heras 236</t>
  </si>
  <si>
    <t>Av. Las Heras 236, Mendoza , Argentina</t>
  </si>
  <si>
    <t>-32,885879;-68,841306;Av, Las Heras 236, Mendoza , Argentina;Avenida Las Heras 236, Ciudad de Mendoza, Sección 1ª Parque Central, Mendoza, AR;</t>
  </si>
  <si>
    <t>España 1551</t>
  </si>
  <si>
    <t>España 1551, Mendoza , Argentina</t>
  </si>
  <si>
    <t>España 1581</t>
  </si>
  <si>
    <t>España 1581, Mendoza , Argentina</t>
  </si>
  <si>
    <t>Av. Colón 339, Mendoza , Argentina</t>
  </si>
  <si>
    <t>-32,887937;-68,84806;Espejo 223, Mendoza , Argentina;Espejo, Ciudad de Mendoza, Sección 2ª Barrio Cívico, Mendoza, AR;</t>
  </si>
  <si>
    <t>-32,894025;-68,845681;Av, Colón 339, Mendoza , Argentina;Avenida Colón, Ciudad de Mendoza, Sección 2ª Barrio Cívico, Mendoza, AR;</t>
  </si>
  <si>
    <t>España 1611</t>
  </si>
  <si>
    <t>España 1611, Mendoza , Argentina</t>
  </si>
  <si>
    <t>LOCUTORIO</t>
  </si>
  <si>
    <t>España 1629</t>
  </si>
  <si>
    <t>Av. Colón 788</t>
  </si>
  <si>
    <t>España 1629, Mendoza , Argentina</t>
  </si>
  <si>
    <t>Av. Colón 788, Mendoza , Argentina</t>
  </si>
  <si>
    <t>-32,893203;-68,850579;Av, Colón 788, Mendoza , Argentina;Avenida Colón 788, Ciudad de Mendoza, Sección 5ª Residencial Sur, Mendoza, AR;</t>
  </si>
  <si>
    <t>España 1661</t>
  </si>
  <si>
    <t>-32,887937;-68,84806;Espejo 166, Mendoza , Argentina;Espejo, Ciudad de Mendoza, Sección 2ª Barrio Cívico, Mendoza, AR;</t>
  </si>
  <si>
    <t>España 1661, Mendoza , Argentina</t>
  </si>
  <si>
    <t>CERRAJERÍA JOPIA</t>
  </si>
  <si>
    <t>España 1663</t>
  </si>
  <si>
    <t>Av. Colón 622</t>
  </si>
  <si>
    <t>España 1663, Mendoza , Argentina</t>
  </si>
  <si>
    <t>Av. Colón 622, Mendoza , Argentina</t>
  </si>
  <si>
    <t>-32,893555;-68,848574;Av, Colón 622, Mendoza , Argentina;Avenida Colón 622, Ciudad de Mendoza, Sección 2ª Barrio Cívico, Mendoza, AR;</t>
  </si>
  <si>
    <t>-34,979176;-67,688023;Godoy Cruz 46, Mendoza , Argentina;Godoy Cruz, General Alvear, Distrito Ciudad de General Alvear, Mendoza, AR;</t>
  </si>
  <si>
    <t>España 1683</t>
  </si>
  <si>
    <t>LAVASEC</t>
  </si>
  <si>
    <t>España 1683, Mendoza , Argentina</t>
  </si>
  <si>
    <t>Av. Colón 474 local izquierda</t>
  </si>
  <si>
    <t>-32,894025;-68,845681;Av, Colón 474, Mendoza , Argentina;Avenida Colón, Ciudad de Mendoza, Sección 2ª Barrio Cívico, Mendoza, AR;</t>
  </si>
  <si>
    <t>España 1685</t>
  </si>
  <si>
    <t>España 1685, Mendoza , Argentina</t>
  </si>
  <si>
    <t>España 1695, Mendoza , Argentina</t>
  </si>
  <si>
    <t>España 1697</t>
  </si>
  <si>
    <t>SANTERÍA SAN MIGUEL</t>
  </si>
  <si>
    <t>España 1697, Mendoza , Argentina</t>
  </si>
  <si>
    <t>-34,974904;-67,683115;España 1540, Mendoza , Argentina;España, General Alvear, Distrito Ciudad de General Alvear, Mendoza, AR;</t>
  </si>
  <si>
    <t>España 1624</t>
  </si>
  <si>
    <t>OH! LALA
GALERÍA CARACOL</t>
  </si>
  <si>
    <t>San Martín 1245 local 30</t>
  </si>
  <si>
    <t>San Martín 1245 local 30, Mendoza , Argentina</t>
  </si>
  <si>
    <t>ROUGE
GALERÍA CARACOL</t>
  </si>
  <si>
    <t>España 1624, Mendoza , Argentina</t>
  </si>
  <si>
    <t>San Martín 1245 local 38</t>
  </si>
  <si>
    <t>-34,974904;-67,683115;España 1624, Mendoza , Argentina;España, General Alvear, Distrito Ciudad de General Alvear, Mendoza, AR;</t>
  </si>
  <si>
    <t>San Martín 1245 local 38, Mendoza , Argentina</t>
  </si>
  <si>
    <t>PARA NOSOTRAS
GALERÍA CARACOL</t>
  </si>
  <si>
    <t>San Martín 1245 local 31</t>
  </si>
  <si>
    <t>San Martín 1245 local 31, Mendoza , Argentina</t>
  </si>
  <si>
    <t>TE VA A GUSTAR
GALERÍA CARACOL</t>
  </si>
  <si>
    <t>San Martín 1245 local 35</t>
  </si>
  <si>
    <t>San Martín 1245 local 35, Mendoza , Argentina</t>
  </si>
  <si>
    <t>-34,974904;-67,683115;España 1102, Mendoza , Argentina;España, General Alvear, Distrito Ciudad de General Alvear, Mendoza, AR;</t>
  </si>
  <si>
    <t>AMAS
GALERÍA MENDOZA</t>
  </si>
  <si>
    <t>BENDITA MODA
GALERÍA CARACOL</t>
  </si>
  <si>
    <t>San Martín 1360 local 8</t>
  </si>
  <si>
    <t>San Martín 1245 local 37</t>
  </si>
  <si>
    <t>San Martín 1360 local 8, Mendoza , Argentina</t>
  </si>
  <si>
    <t>San Martín 1245 local 37, Mendoza , Argentina</t>
  </si>
  <si>
    <t>39,78373;-100,445882;San Martín 1360 local 8, Mendoza , Argentina;US;</t>
  </si>
  <si>
    <t>OH! RAMONA
GALERÍA CARACOL</t>
  </si>
  <si>
    <t>PENSE POR TI
GALERÍA CARACOL</t>
  </si>
  <si>
    <t>TEST NIGHT
GALERÍA CARACOL</t>
  </si>
  <si>
    <t>San Martín 1245 local l33</t>
  </si>
  <si>
    <t>San Martín 1245 local l33, Mendoza , Argentina</t>
  </si>
  <si>
    <t>EL PRIMERO
GALERÍA TOMSA</t>
  </si>
  <si>
    <t>CLOTER
GALERÍA CARACOL</t>
  </si>
  <si>
    <t>San Martín 1167 local a18</t>
  </si>
  <si>
    <t>San Martín 1167 local a18, Mendoza , Argentina</t>
  </si>
  <si>
    <t>San Martín 1245 local l35</t>
  </si>
  <si>
    <t>39,78373;-100,445882;San Martín 1167 local a18, Mendoza , Argentina;US;</t>
  </si>
  <si>
    <t>San Martín 1245 local l35, Mendoza , Argentina</t>
  </si>
  <si>
    <t>-34,974904;-67,683115;España 1194, Mendoza , Argentina;España, General Alvear, Distrito Ciudad de General Alvear, Mendoza, AR;</t>
  </si>
  <si>
    <t>GALA
GALERÍA CARACOL</t>
  </si>
  <si>
    <t>San Martín 1245 local l 36-37</t>
  </si>
  <si>
    <t>San Martín 1245 local l 36-37, Mendoza , Argentina</t>
  </si>
  <si>
    <t>MORENA MIA
GALERÍA CARACOL</t>
  </si>
  <si>
    <t>San Martín 1245 local 44</t>
  </si>
  <si>
    <t>San Martín 1245 local 44, Mendoza , Argentina</t>
  </si>
  <si>
    <t>LA PRIMERA
GALERÍA TOMSA</t>
  </si>
  <si>
    <t>San Martín 1167 local a14</t>
  </si>
  <si>
    <t>TEST
GALERÍA CARACOL</t>
  </si>
  <si>
    <t>San Martín 1167 local a14, Mendoza , Argentina</t>
  </si>
  <si>
    <t>San Martín 1245 local 45</t>
  </si>
  <si>
    <t>39,78373;-100,445882;San Martín 1167 local a14, Mendoza , Argentina;US;</t>
  </si>
  <si>
    <t>San Martín 1245 local 45, Mendoza , Argentina</t>
  </si>
  <si>
    <t>TERRA
GALERÍA CARACOL</t>
  </si>
  <si>
    <t>San Martín 1245 local 47</t>
  </si>
  <si>
    <t>San Martín 1245 local 47, Mendoza , Argentina</t>
  </si>
  <si>
    <t>-34,974904;-67,683115;España 906, Mendoza , Argentina;España, General Alvear, Distrito Ciudad de General Alvear, Mendoza, AR;</t>
  </si>
  <si>
    <t>MALHA
GALERÍA CARACOL</t>
  </si>
  <si>
    <t>San Martín 1245 local 49</t>
  </si>
  <si>
    <t>San Martín 1245 local 49, Mendoza , Argentina</t>
  </si>
  <si>
    <t>SIMONA
GALERÍA CARACOL</t>
  </si>
  <si>
    <t>SELLOS DE GOMA
GALERÍA TOMSA</t>
  </si>
  <si>
    <t>San Martín 1245 local 55</t>
  </si>
  <si>
    <t>San Martín 1167 local v15</t>
  </si>
  <si>
    <t>San Martín 1245 local 55, Mendoza , Argentina</t>
  </si>
  <si>
    <t>San Martín 1167 local v15, Mendoza , Argentina</t>
  </si>
  <si>
    <t>39,78373;-100,445882;San Martín 1167 local v15, Mendoza , Argentina;US;</t>
  </si>
  <si>
    <t>CODIGO X
GALERÍA CARACOL</t>
  </si>
  <si>
    <t>San Martín 1245 local 56</t>
  </si>
  <si>
    <t>San Martín 1245 local 56, Mendoza , Argentina</t>
  </si>
  <si>
    <t>GEMINIS
GALERÍA CARACOL</t>
  </si>
  <si>
    <t>San Martín 1245 local 58</t>
  </si>
  <si>
    <t>San Martín 1245 local 58, Mendoza , Argentina</t>
  </si>
  <si>
    <t>MOXY
GALERÍA CARACOL</t>
  </si>
  <si>
    <t>San Martín 1245 local 63</t>
  </si>
  <si>
    <t>EDITORIAL LINEA
GALERÍA CARACOL</t>
  </si>
  <si>
    <t>San Martín 1245 local 63, Mendoza , Argentina</t>
  </si>
  <si>
    <t>San Martín 1245 local 103</t>
  </si>
  <si>
    <t>AVADAZ
GALERÍA CARACOL</t>
  </si>
  <si>
    <t>San Martín 1245 local 103, Mendoza , Argentina</t>
  </si>
  <si>
    <t>San Martín 1245 local 64</t>
  </si>
  <si>
    <t>39,78373;-100,445882;San Martín 1245 local 103, Mendoza , Argentina;US;</t>
  </si>
  <si>
    <t>-34,974904;-67,683115;España 986, Mendoza , Argentina;España, General Alvear, Distrito Ciudad de General Alvear, Mendoza, AR;</t>
  </si>
  <si>
    <t>San Martín 1245 local 64, Mendoza , Argentina</t>
  </si>
  <si>
    <t>San Martín 1245 local 65</t>
  </si>
  <si>
    <t>San Martín 1245 local 65, Mendoza , Argentina</t>
  </si>
  <si>
    <t>AUCH
GALERÍA CARACOL</t>
  </si>
  <si>
    <t>San Martín 1245 local 67</t>
  </si>
  <si>
    <t>San Martín 1245 local 67, Mendoza , Argentina</t>
  </si>
  <si>
    <t>SUPERSONICO
GALERÍA CARACOL</t>
  </si>
  <si>
    <t>San Martín 1245 local 74</t>
  </si>
  <si>
    <t>San Martín 1245 local 74, Mendoza , Argentina</t>
  </si>
  <si>
    <t>DIVAIN
GALERÍA BAMAC</t>
  </si>
  <si>
    <t>San Martín 1425 local 32</t>
  </si>
  <si>
    <t>3° MUNDO
GALERÍA CARACOL</t>
  </si>
  <si>
    <t>San Martín 1425 local 32, Mendoza , Argentina</t>
  </si>
  <si>
    <t>San Martín 1245 local 92</t>
  </si>
  <si>
    <t>39,78373;-100,445882;San Martín 1425 local 32, Mendoza , Argentina;US;</t>
  </si>
  <si>
    <t>San Martín 1245 local 92, Mendoza , Argentina</t>
  </si>
  <si>
    <t>NO ES ROCK AND ROLL
GALERÍA CARACOL</t>
  </si>
  <si>
    <t>-34,974904;-67,683115;España 985, Mendoza , Argentina;España, General Alvear, Distrito Ciudad de General Alvear, Mendoza, AR;</t>
  </si>
  <si>
    <t>San Martín 1245 local 94</t>
  </si>
  <si>
    <t>San Martín 1245 local 94, Mendoza , Argentina</t>
  </si>
  <si>
    <t>SMILE
GALERÍA CARACOL</t>
  </si>
  <si>
    <t>San Martín 1245 local 95</t>
  </si>
  <si>
    <t>San Martín 1245 local 95, Mendoza , Argentina</t>
  </si>
  <si>
    <t>VIGDAY
GALERÍA CARACOL</t>
  </si>
  <si>
    <t>FOTOCOPIAS
GALERÍA RUFO</t>
  </si>
  <si>
    <t>San Martín 1245 local 96</t>
  </si>
  <si>
    <t>San Martín 1245 local 96, Mendoza , Argentina</t>
  </si>
  <si>
    <t>San Martín 1672 local 8</t>
  </si>
  <si>
    <t>San Martín 1672 local 8, Mendoza , Argentina</t>
  </si>
  <si>
    <t>39,78373;-100,445882;San Martín 1672 local 8, Mendoza , Argentina;US;</t>
  </si>
  <si>
    <t>SHERAWALI
GALERÍA CARACOL</t>
  </si>
  <si>
    <t>San Martín 1245 local 105</t>
  </si>
  <si>
    <t>San Martín 1245 local 105, Mendoza , Argentina</t>
  </si>
  <si>
    <t>ID#
GALERÍA KOLTON</t>
  </si>
  <si>
    <t>San Martín 1355 local 2</t>
  </si>
  <si>
    <t>San Martín 1355 local 2, Mendoza , Argentina</t>
  </si>
  <si>
    <t>KIOSCO REVISTAS
GALERÍA RUFO</t>
  </si>
  <si>
    <t>-34,974904;-67,683115;España 1489, Mendoza , Argentina;España, General Alvear, Distrito Ciudad de General Alvear, Mendoza, AR;</t>
  </si>
  <si>
    <t>TEST NIGHT
GALERÍA KOLTON</t>
  </si>
  <si>
    <t>San Martín 1672 local i</t>
  </si>
  <si>
    <t>San Martín 1355 local 3</t>
  </si>
  <si>
    <t>San Martín 1672 local i, Mendoza , Argentina</t>
  </si>
  <si>
    <t>San Martín 1355 local 3, Mendoza , Argentina</t>
  </si>
  <si>
    <t>39,78373;-100,445882;San Martín 1672 local i, Mendoza , Argentina;US;</t>
  </si>
  <si>
    <t>TEST JEANS
GALERÍA KOLTON</t>
  </si>
  <si>
    <t>San Martín 1355 local 4</t>
  </si>
  <si>
    <t>San Martín 1355 local 4, Mendoza , Argentina</t>
  </si>
  <si>
    <t>DOLCE
GALERÍA KOLTON</t>
  </si>
  <si>
    <t>San Martín 1355 local 6</t>
  </si>
  <si>
    <t>San Martín 1355 local 6, Mendoza , Argentina</t>
  </si>
  <si>
    <t>MAHLA
GALERÍA KOLTON</t>
  </si>
  <si>
    <t>San Martín 1355 local 7</t>
  </si>
  <si>
    <t>SELLOS
PASAJE SAN MARTÍN</t>
  </si>
  <si>
    <t>San Martín 1355 local 7, Mendoza , Argentina</t>
  </si>
  <si>
    <t>San Martín 1136 local 37</t>
  </si>
  <si>
    <t>San Martín 1136 local 37, Mendoza , Argentina</t>
  </si>
  <si>
    <t>VOKU
GALERÍA KOLTON</t>
  </si>
  <si>
    <t>-33,052166;-68,557455;San Martín 1136 local 37, Mendoza , Argentina;San Martín, Distrito Palmira, Mendoza, AR;</t>
  </si>
  <si>
    <t>San Martín 1355 local 10</t>
  </si>
  <si>
    <t>San Martín 1355 local 10, Mendoza , Argentina</t>
  </si>
  <si>
    <t>SAMZARA
GALERÍA KOLTON</t>
  </si>
  <si>
    <t>San Martín 1355 local 13</t>
  </si>
  <si>
    <t>39,78373;-100,445882;San Martín 1136 local 5, Mendoza , Argentina;US;</t>
  </si>
  <si>
    <t>San Martín 1355 local 13, Mendoza , Argentina</t>
  </si>
  <si>
    <t>ASÉ
GALERÍA KOLTON</t>
  </si>
  <si>
    <t>San Martín 1355 local 14</t>
  </si>
  <si>
    <t>San Martín 1355 local 14, Mendoza , Argentina</t>
  </si>
  <si>
    <t>HAZZ
GALERÍA KOLTON</t>
  </si>
  <si>
    <t>LOS ANDES
GALERÍA PIAZZA</t>
  </si>
  <si>
    <t>San Martín 1355 local 15</t>
  </si>
  <si>
    <t>San Martín 1355 local 15, Mendoza , Argentina</t>
  </si>
  <si>
    <t>San Martín 1027 local 2</t>
  </si>
  <si>
    <t>San Martín 1027 local 2, Mendoza , Argentina</t>
  </si>
  <si>
    <t>39,78373;-100,445882;San Martín 1027 local 2, Mendoza , Argentina;US;</t>
  </si>
  <si>
    <t>AMARO
GALERÍA KOLTON</t>
  </si>
  <si>
    <t>San Martín 1355 local 16</t>
  </si>
  <si>
    <t>San Martín 1355 local 16, Mendoza , Argentina</t>
  </si>
  <si>
    <t>39,78373;-100,445882;Av, Las Heras 430 local 16, Mendoza , Argentina;US;</t>
  </si>
  <si>
    <t>San Martín 1355 local 17</t>
  </si>
  <si>
    <t>San Martín 1355 local 17, Mendoza , Argentina</t>
  </si>
  <si>
    <t>ANA BOLENA
GALERÍA KOLTON</t>
  </si>
  <si>
    <t>San Martín 1355 local 18</t>
  </si>
  <si>
    <t>San Martín 1355 local 18, Mendoza , Argentina</t>
  </si>
  <si>
    <t>CIROCA
GALERÍA KOLTON</t>
  </si>
  <si>
    <t>San Martín 1355 local 19</t>
  </si>
  <si>
    <t>San Martín 1355 local 19, Mendoza , Argentina</t>
  </si>
  <si>
    <t>AGENCIA QUINIELA
GALERÍA PIAZZA</t>
  </si>
  <si>
    <t>OSADA
GALERÍA KOLTON</t>
  </si>
  <si>
    <t>San Martín 1027 local 53</t>
  </si>
  <si>
    <t>San Martín 1355 local 21</t>
  </si>
  <si>
    <t>San Martín 1027 local 53, Mendoza , Argentina</t>
  </si>
  <si>
    <t>San Martín 1355 local 21, Mendoza , Argentina</t>
  </si>
  <si>
    <t>39,78373;-100,445882;San Martín 1027 local 53, Mendoza , Argentina;US;</t>
  </si>
  <si>
    <t>AUDAZ
GALERÍA KOLTON</t>
  </si>
  <si>
    <t>San Martín 1355 local 22</t>
  </si>
  <si>
    <t>San Martín 1355 local 22, Mendoza , Argentina</t>
  </si>
  <si>
    <t>OLIVIA
GALERÍA KOLTON</t>
  </si>
  <si>
    <t>San Martín 1355 local 24</t>
  </si>
  <si>
    <t>San Martín 1355 local 24, Mendoza , Argentina</t>
  </si>
  <si>
    <t>SIMONA
GALERÍA KOLTON</t>
  </si>
  <si>
    <t>DIARIO UNO
GALERÍA PIAZZA</t>
  </si>
  <si>
    <t>San Martín 1355 local 25</t>
  </si>
  <si>
    <t>San Martín 1027 local 55</t>
  </si>
  <si>
    <t>San Martín 1355 local 25, Mendoza , Argentina</t>
  </si>
  <si>
    <t>San Martín 1027 local 55, Mendoza , Argentina</t>
  </si>
  <si>
    <t>39,78373;-100,445882;San Martín 1027 local 55, Mendoza , Argentina;US;</t>
  </si>
  <si>
    <t>ONIRIA
GALERÍA KOLTON</t>
  </si>
  <si>
    <t>San Martín 1355 local 26</t>
  </si>
  <si>
    <t>San Martín 1355 local 26, Mendoza , Argentina</t>
  </si>
  <si>
    <t>VALENTINA
GALERÍA KOLTON</t>
  </si>
  <si>
    <t>San Martín 1355 local 27</t>
  </si>
  <si>
    <t>San Martín 1355 local 27, Mendoza , Argentina</t>
  </si>
  <si>
    <t>MARIA PAZ
GALERÍA KOLTON</t>
  </si>
  <si>
    <t>San Martín 1355 local 28</t>
  </si>
  <si>
    <t>San Martín 1355 local 28, Mendoza , Argentina</t>
  </si>
  <si>
    <t>AG
GALERÍA SAN MARCOS</t>
  </si>
  <si>
    <t>UMB
GALERÍA KOLTON</t>
  </si>
  <si>
    <t>Sarmiento 133 local 22</t>
  </si>
  <si>
    <t>San Martín 1355 local 39</t>
  </si>
  <si>
    <t>Sarmiento 133 local 22, Mendoza , Argentina</t>
  </si>
  <si>
    <t>San Martín 1355 local 39, Mendoza , Argentina</t>
  </si>
  <si>
    <t>-33,09471;-68,583709;Sarmiento 133 local 22, Mendoza , Argentina;Sarmiento, Los Barriales, Distrito Los Barriales, Mendoza, AR;</t>
  </si>
  <si>
    <t>HUAPA
GALERÍA KOLTON</t>
  </si>
  <si>
    <t>San Martín 1355 local 30</t>
  </si>
  <si>
    <t>San Martín 1355 local 30, Mendoza , Argentina</t>
  </si>
  <si>
    <t>MAMBA
GALERÍA KOLTON</t>
  </si>
  <si>
    <t>San Martín 1355 local 31</t>
  </si>
  <si>
    <t>San Martín 1355 local 31, Mendoza , Argentina</t>
  </si>
  <si>
    <t>CODIGO X
GALERÍA KOLTON</t>
  </si>
  <si>
    <t>San Martín 1355 local 32</t>
  </si>
  <si>
    <t>San Martín 1355 local 32, Mendoza , Argentina</t>
  </si>
  <si>
    <t>TERRA
GALERÍA KOLTON</t>
  </si>
  <si>
    <t>San Martín 1355 local 34</t>
  </si>
  <si>
    <t>San Martín 1355 local 34, Mendoza , Argentina</t>
  </si>
  <si>
    <t>ZONA URBANA
GALERÍA KOLTON</t>
  </si>
  <si>
    <t>San Martín 1355 local 35</t>
  </si>
  <si>
    <t>San Martín 1355 local 35, Mendoza , Argentina</t>
  </si>
  <si>
    <t>CLOTER
GALERÍA KOLTON</t>
  </si>
  <si>
    <t>San Martín 1355 local 36</t>
  </si>
  <si>
    <t>San Martín 1355 local 36, Mendoza , Argentina</t>
  </si>
  <si>
    <t>LA CASA DEL PANTALÓN
GALERÍA KOLTON</t>
  </si>
  <si>
    <t>San Martín 1355 local 37</t>
  </si>
  <si>
    <t>San Martín 1355 local 37, Mendoza , Argentina</t>
  </si>
  <si>
    <t>CASUAL
GALERÍA BAMAC</t>
  </si>
  <si>
    <t>San Martín 1425 local 7</t>
  </si>
  <si>
    <t>San Martín 1425 local 7, Mendoza , Argentina</t>
  </si>
  <si>
    <t>ANA BOLENA
GALERÍA BAMAC</t>
  </si>
  <si>
    <t>San Martín 1425 local 12</t>
  </si>
  <si>
    <t>San Martín 1425 local 12, Mendoza , Argentina</t>
  </si>
  <si>
    <t>San Martín 1425 local 13</t>
  </si>
  <si>
    <t>San Martín 1425 local 13, Mendoza , Argentina</t>
  </si>
  <si>
    <t>AITANA
GALERÍA BAMAC</t>
  </si>
  <si>
    <t>San Martín 1425 local 14</t>
  </si>
  <si>
    <t>San Martín 1425 local 14, Mendoza , Argentina</t>
  </si>
  <si>
    <t>CODIGO X
GALERÍA BAMAC</t>
  </si>
  <si>
    <t>San Martín 1425 local 16</t>
  </si>
  <si>
    <t>San Martín 1425 local 16, Mendoza , Argentina</t>
  </si>
  <si>
    <t>NITIO A
GALERÍA BAMAC</t>
  </si>
  <si>
    <t>San Martín 1425 local 17</t>
  </si>
  <si>
    <t>San Martín 1425 local 17, Mendoza , Argentina</t>
  </si>
  <si>
    <t>MARY GONZALES
GALERÍA BAMAC</t>
  </si>
  <si>
    <t>San Martín 1425 local 18</t>
  </si>
  <si>
    <t>San Martín 1425 local 18, Mendoza , Argentina</t>
  </si>
  <si>
    <t>EXCLAMATION
GALERÍA BAMAC</t>
  </si>
  <si>
    <t>San Martín 1425 local 19</t>
  </si>
  <si>
    <t>San Martín 1425 local 19, Mendoza , Argentina</t>
  </si>
  <si>
    <t>ALMENDRA
GALERÍA BAMAC</t>
  </si>
  <si>
    <t>San Martín 1425 local 21</t>
  </si>
  <si>
    <t>San Martín 1425 local 21, Mendoza , Argentina</t>
  </si>
  <si>
    <t>OLIVIA
GALERÍA BAMAC</t>
  </si>
  <si>
    <t>San Martín 1425 local 22</t>
  </si>
  <si>
    <t>San Martín 1425 local 22, Mendoza , Argentina</t>
  </si>
  <si>
    <t>LILY
GALERÍA BAMAC</t>
  </si>
  <si>
    <t>San Martín 1425 local 24</t>
  </si>
  <si>
    <t>San Martín 1425 local 24, Mendoza , Argentina</t>
  </si>
  <si>
    <t>WAIITA
GALERÍA BAMAC</t>
  </si>
  <si>
    <t>San Martín 1425 local 25</t>
  </si>
  <si>
    <t>San Martín 1425 local 25, Mendoza , Argentina</t>
  </si>
  <si>
    <t>MODA ESPECIAL
GALERÍA BAMAC</t>
  </si>
  <si>
    <t>San Martín 1425 local 26</t>
  </si>
  <si>
    <t>San Martín 1425 local 26, Mendoza , Argentina</t>
  </si>
  <si>
    <t>GENO
GALERÍA BAMAC</t>
  </si>
  <si>
    <t>San Martín 1425 local 29</t>
  </si>
  <si>
    <t>San Martín 1425 local 29, Mendoza , Argentina</t>
  </si>
  <si>
    <t>TERE
GALERÍA BAMAC</t>
  </si>
  <si>
    <t>San Martín 1425 local 33</t>
  </si>
  <si>
    <t>San Martín 1425 local 33, Mendoza , Argentina</t>
  </si>
  <si>
    <t>CLOSET
GALERÍA BAMAC</t>
  </si>
  <si>
    <t>San Martín 1425 local 34</t>
  </si>
  <si>
    <t>San Martín 1425 local 34, Mendoza , Argentina</t>
  </si>
  <si>
    <t>San Martín 1425 local 35</t>
  </si>
  <si>
    <t>San Martín 1425 local 35, Mendoza , Argentina</t>
  </si>
  <si>
    <t>AGOSTINA
GALERÍA BAMAC</t>
  </si>
  <si>
    <t>San Martín 1425 local 37</t>
  </si>
  <si>
    <t>San Martín 1425 local 37, Mendoza , Argentina</t>
  </si>
  <si>
    <t>AGUSTINA
GALERÍA BAMAC</t>
  </si>
  <si>
    <t>San Martín 1425 local 39</t>
  </si>
  <si>
    <t>San Martín 1425 local 39, Mendoza , Argentina</t>
  </si>
  <si>
    <t>MALUKA
GALERÍA RUFO</t>
  </si>
  <si>
    <t>San Martín 1672 local 4</t>
  </si>
  <si>
    <t>San Martín 1672 local 4, Mendoza , Argentina</t>
  </si>
  <si>
    <t>PUEBLO ROPA
PASAJE SAN MARTÍN</t>
  </si>
  <si>
    <t>San Martín 1136 local 13</t>
  </si>
  <si>
    <t>San Martín 1136 local 13, Mendoza , Argentina</t>
  </si>
  <si>
    <t>NELLY BOUTIQUE
PASAJE SAN MARTÍN</t>
  </si>
  <si>
    <t>San Martín 1136 local 20</t>
  </si>
  <si>
    <t>San Martín 1136 local 20, Mendoza , Argentina</t>
  </si>
  <si>
    <t>JUANA FRANCO
GALERÍA PIAZZA</t>
  </si>
  <si>
    <t>San Martín 1027 local 7</t>
  </si>
  <si>
    <t>San Martín 1027 local 7, Mendoza , Argentina</t>
  </si>
  <si>
    <t>REBECA
GALERÍA PIAZZA</t>
  </si>
  <si>
    <t>San Martín 1027 local 17</t>
  </si>
  <si>
    <t>San Martín 1027 local 17, Mendoza , Argentina</t>
  </si>
  <si>
    <t>LA BOTICA DE CLAUDIO
GALERÍA PIAZZA</t>
  </si>
  <si>
    <t>San Martín 1027 local 23-24</t>
  </si>
  <si>
    <t>San Martín 1027 local 23-24, Mendoza , Argentina</t>
  </si>
  <si>
    <t>PHEDRA
GALERÍA PIAZZA</t>
  </si>
  <si>
    <t>San Martín 1027 local 29-91</t>
  </si>
  <si>
    <t>San Martín 1027 local 29-91, Mendoza , Argentina</t>
  </si>
  <si>
    <t>ALESSA
GALERÍA PIAZZA</t>
  </si>
  <si>
    <t>San Martín 1027 local 49</t>
  </si>
  <si>
    <t>San Martín 1027 local 49, Mendoza , Argentina</t>
  </si>
  <si>
    <t>SERAPHITA XIMENA HERNANDEZ
GALERÍA PIAZZA</t>
  </si>
  <si>
    <t>San Martín 1027 local 50</t>
  </si>
  <si>
    <t>San Martín 1027 local 50, Mendoza , Argentina</t>
  </si>
  <si>
    <t>DANIELA SCARDONE
GALERÍA PIAZZA</t>
  </si>
  <si>
    <t>San Martín 1027 local 51</t>
  </si>
  <si>
    <t>San Martín 1027 local 51, Mendoza , Argentina</t>
  </si>
  <si>
    <t>San Martín 1027 local 54</t>
  </si>
  <si>
    <t>San Martín 1027 local 54, Mendoza , Argentina</t>
  </si>
  <si>
    <t>PASARELLA BOUTIQUE
GALERÍA PIAZZA</t>
  </si>
  <si>
    <t>San Martín 1027 local 57</t>
  </si>
  <si>
    <t>San Martín 1027 local 57, Mendoza , Argentina</t>
  </si>
  <si>
    <t>OWENSHA
GALERÍA VÍA DEL SOL</t>
  </si>
  <si>
    <t>Av. Las Heras 430 local 4</t>
  </si>
  <si>
    <t>Av. Las Heras 430 local 4, Mendoza , Argentina</t>
  </si>
  <si>
    <t>Indumentaria Masculina</t>
  </si>
  <si>
    <t>9 de July 1184</t>
  </si>
  <si>
    <t>9 de Julio 1184, Mendoza , Argentina</t>
  </si>
  <si>
    <t>9 de julio 932, Mendoza , Argentina</t>
  </si>
  <si>
    <t>9 de Julio 1063 Dpto 3, Mendoza , Argentina</t>
  </si>
  <si>
    <t>9 de July 1515</t>
  </si>
  <si>
    <t>9 de julio 1515, Mendoza , Argentina</t>
  </si>
  <si>
    <t>9 de July 1647</t>
  </si>
  <si>
    <t>9 de Julio 1647, Mendoza , Argentina</t>
  </si>
  <si>
    <t>KING</t>
  </si>
  <si>
    <t>Peatonal Sarmiento 35</t>
  </si>
  <si>
    <t>Peatonal Sarmiento 35, Mendoza , Argentina</t>
  </si>
  <si>
    <t>Peatonal Sarmiento 224</t>
  </si>
  <si>
    <t>Peatonal Sarmiento 224, Mendoza , Argentina</t>
  </si>
  <si>
    <t>Peatonal Sarmiento 110</t>
  </si>
  <si>
    <t>Peatonal Sarmiento 110, Mendoza , Argentina</t>
  </si>
  <si>
    <t>LENCERÍA CAPRICHO</t>
  </si>
  <si>
    <t>Av. San Martín 1297</t>
  </si>
  <si>
    <t>Av. San Martín 1297, Mendoza , Argentina</t>
  </si>
  <si>
    <t>Av. San Martín 1295</t>
  </si>
  <si>
    <t>Av. San Martín 1295, Mendoza , Argentina</t>
  </si>
  <si>
    <t>RIGAR'S BARON ARGENTINO</t>
  </si>
  <si>
    <t>Av. San Martín 1445</t>
  </si>
  <si>
    <t>Av. San Martín 1445, Mendoza , Argentina</t>
  </si>
  <si>
    <t>Av. San Martín 1431</t>
  </si>
  <si>
    <t>Av. San Martín 1431, Mendoza , Argentina</t>
  </si>
  <si>
    <t>Av. San Martín 1425</t>
  </si>
  <si>
    <t>Espejo 56</t>
  </si>
  <si>
    <t>Av. San Martín 1425, Mendoza , Argentina</t>
  </si>
  <si>
    <t>KAMIKAZE</t>
  </si>
  <si>
    <t>Av. San Martín 1407</t>
  </si>
  <si>
    <t>Espejo 26</t>
  </si>
  <si>
    <t>Av. San Martín 1407, Mendoza , Argentina</t>
  </si>
  <si>
    <t>COLEGIO SAN LUIS GONZAGA</t>
  </si>
  <si>
    <t>Av. San Martín 1401</t>
  </si>
  <si>
    <t>Av. Colón 93 local derecha</t>
  </si>
  <si>
    <t>Av. San Martín 1401, Mendoza , Argentina</t>
  </si>
  <si>
    <t>TURISMO ZAKALIK</t>
  </si>
  <si>
    <t>Av. San Martín 1567</t>
  </si>
  <si>
    <t>Espejo 179</t>
  </si>
  <si>
    <t>Av. San Martín 1567, Mendoza , Argentina</t>
  </si>
  <si>
    <t>Av. San Martín 1543</t>
  </si>
  <si>
    <t>Av. San Martín 1543, Mendoza , Argentina</t>
  </si>
  <si>
    <t>Av. San Martín 1515</t>
  </si>
  <si>
    <t>Av. San Martín 1515, Mendoza , Argentina</t>
  </si>
  <si>
    <t>Av. San Martín 1505</t>
  </si>
  <si>
    <t>Av. San Martín 1505, Mendoza , Argentina</t>
  </si>
  <si>
    <t>Av. San Martín 1212</t>
  </si>
  <si>
    <t>Av. San Martín 1212, Mendoza , Argentina</t>
  </si>
  <si>
    <t>Av. San Martín 1260</t>
  </si>
  <si>
    <t>Av. San Martín 1260, Mendoza , Argentina</t>
  </si>
  <si>
    <t>CÁMARA DE MANDATARIOS MENDOZA</t>
  </si>
  <si>
    <t>Av. San Martín 1266</t>
  </si>
  <si>
    <t>Av. Colón 772</t>
  </si>
  <si>
    <t>Av. San Martín 1266, Mendoza , Argentina</t>
  </si>
  <si>
    <t>Av. San Martín 1112</t>
  </si>
  <si>
    <t>Av. Colón 423 local der.;der.</t>
  </si>
  <si>
    <t>Av. San Martín 1112, Mendoza , Argentina</t>
  </si>
  <si>
    <t>BE GUALTA</t>
  </si>
  <si>
    <t>RECREACIÓN</t>
  </si>
  <si>
    <t>Bares</t>
  </si>
  <si>
    <t>Juan B. Justo 185</t>
  </si>
  <si>
    <t>CALZADOS MORA</t>
  </si>
  <si>
    <t>Juan B. Justo 185, Mendoza , Argentina</t>
  </si>
  <si>
    <t>-32,906854;-68,846157;Juan B, Justo 185, Mendoza , Argentina;Juan B, Justo 185, Villa Mercedes, Departamento Godoy Cruz, Mendoza, AR;</t>
  </si>
  <si>
    <t>Av. San Martín 1122</t>
  </si>
  <si>
    <t>Av. Colón 423 local der.; med.</t>
  </si>
  <si>
    <t>Av. San Martín 1122, Mendoza , Argentina</t>
  </si>
  <si>
    <t>Av. San Martín 1008</t>
  </si>
  <si>
    <t>Av. San Martín 1008, Mendoza , Argentina</t>
  </si>
  <si>
    <t>Av. San Martín 1066</t>
  </si>
  <si>
    <t>Av. San Martín 1066, Mendoza , Argentina</t>
  </si>
  <si>
    <t>Av. Las Heras 615</t>
  </si>
  <si>
    <t>Av. Las Heras 615, Mendoza , Argentina</t>
  </si>
  <si>
    <t>IMPERIAL</t>
  </si>
  <si>
    <t>UNION CERVECERA</t>
  </si>
  <si>
    <t>Av. Colón 101</t>
  </si>
  <si>
    <t>Peatonal Sarmiento 23</t>
  </si>
  <si>
    <t>Juan B. Justo 261</t>
  </si>
  <si>
    <t>Av. Colón 101, Mendoza , Argentina</t>
  </si>
  <si>
    <t>Juan B. Justo 261, Mendoza , Argentina</t>
  </si>
  <si>
    <t>-32,906749;-68,84723;Juan B, Justo 261, Mendoza , Argentina;Juan B, Justo 261, Villa Mercedes, Departamento Godoy Cruz, Mendoza, AR;</t>
  </si>
  <si>
    <t>LUHFI</t>
  </si>
  <si>
    <t>Av. Colón 304</t>
  </si>
  <si>
    <t>Av. Colón 304, Mendoza , Argentina</t>
  </si>
  <si>
    <t>LOS GULINIS</t>
  </si>
  <si>
    <t>Juan B. Justo 429</t>
  </si>
  <si>
    <t>Juan B. Justo 429, Mendoza , Argentina</t>
  </si>
  <si>
    <t>-32,906514;-68,849491;Juan B, Justo 429, Mendoza , Argentina;Juan B, Justo 429, Villa Mercedes, Departamento Godoy Cruz, Mendoza, AR;</t>
  </si>
  <si>
    <t>Espejo 259, Mendoza , Argentina</t>
  </si>
  <si>
    <t>LA ESTANCIA</t>
  </si>
  <si>
    <t>Espejo 182</t>
  </si>
  <si>
    <t>Espejo 182, Mendoza , Argentina</t>
  </si>
  <si>
    <t>JUSTO AL PASO</t>
  </si>
  <si>
    <t>Espejo 128</t>
  </si>
  <si>
    <t>Juan B. Justo 513</t>
  </si>
  <si>
    <t>Espejo 128, Mendoza , Argentina</t>
  </si>
  <si>
    <t>PROJECT ARGENTINA</t>
  </si>
  <si>
    <t>Juan B. Justo 513, Mendoza , Argentina</t>
  </si>
  <si>
    <t>-32,906394;-68,850775;Juan B, Justo 513, Mendoza , Argentina;Juan B, Justo 513, Villa Mercedes, Departamento Godoy Cruz, Mendoza, AR;</t>
  </si>
  <si>
    <t>Espejo 56, Mendoza , Argentina</t>
  </si>
  <si>
    <t>CASA DE CAMBIO</t>
  </si>
  <si>
    <t>Espejo 40</t>
  </si>
  <si>
    <t>Espejo 40, Mendoza , Argentina</t>
  </si>
  <si>
    <t>Espejo 26, Mendoza , Argentina</t>
  </si>
  <si>
    <t>CHACHINGO</t>
  </si>
  <si>
    <t>KNAUER</t>
  </si>
  <si>
    <t>Juan B. Justo 611</t>
  </si>
  <si>
    <t>Espejo 8, Mendoza , Argentina</t>
  </si>
  <si>
    <t>Juan B. Justo 611, Mendoza , Argentina</t>
  </si>
  <si>
    <t>-33,571657;-69,012587;Juan B, Justo 611, Mendoza , Argentina;Juan B, Justo, Tunuyán, Distrito Ciudad de Tunuyán, Mendoza, AR;</t>
  </si>
  <si>
    <t>MUNDO AFRICA</t>
  </si>
  <si>
    <t>Godoy Cruz 47</t>
  </si>
  <si>
    <t>Godoy Cruz 47, Mendoza , Argentina</t>
  </si>
  <si>
    <t>España 1142, Mendoza , Argentina</t>
  </si>
  <si>
    <t>BREMEN PIELS</t>
  </si>
  <si>
    <t xml:space="preserve">  Sarmiento 69</t>
  </si>
  <si>
    <t xml:space="preserve"> Sarmiento 69, Mendoza , Argentina</t>
  </si>
  <si>
    <t>-34,983771;-67,69702;Sarmiento 69, Mendoza , Argentina;Sarmiento, General Alvear, Distrito Ciudad de General Alvear, Mendoza, AR;</t>
  </si>
  <si>
    <t>España 1061</t>
  </si>
  <si>
    <t>España 1061, Mendoza , Argentina</t>
  </si>
  <si>
    <t>España 1619</t>
  </si>
  <si>
    <t>España 1619, Mendoza , Argentina</t>
  </si>
  <si>
    <t>General Paz 199</t>
  </si>
  <si>
    <t>General Paz 199, Mendoza , Argentina</t>
  </si>
  <si>
    <t>IRISH PUB BELIEVE</t>
  </si>
  <si>
    <t>Av. Colón 241</t>
  </si>
  <si>
    <t>BIOKO
GALERÍA MENDOZA</t>
  </si>
  <si>
    <t>Av. Colón 241, Mendoza , Argentina</t>
  </si>
  <si>
    <t>San Martín 1360 local 16</t>
  </si>
  <si>
    <t>-32,894025;-68,845681;Av, Colón 241, Mendoza , Argentina;Avenida Colón, Ciudad de Mendoza, Sección 2ª Barrio Cívico, Mendoza, AR;</t>
  </si>
  <si>
    <t>San Martín 1360 local 16, Mendoza , Argentina</t>
  </si>
  <si>
    <t>MUELLE
GALERÍA CARACOL</t>
  </si>
  <si>
    <t>San Martín 1245 local 57</t>
  </si>
  <si>
    <t>San Martín 1245 local 57, Mendoza , Argentina</t>
  </si>
  <si>
    <t>BON STEEL
GALERÍA CARACOL</t>
  </si>
  <si>
    <t>San Martín 1245 local 60</t>
  </si>
  <si>
    <t>San Martín 1245 local 60, Mendoza , Argentina</t>
  </si>
  <si>
    <t>GRETA
GALERÍA PIAZZA</t>
  </si>
  <si>
    <t>TODOS LOS SANTOS
GALERÍA CARACOL</t>
  </si>
  <si>
    <t>San Martín 1027 local 47</t>
  </si>
  <si>
    <t>San Martín 1245 local 75</t>
  </si>
  <si>
    <t>San Martín 1027 local 47, Mendoza , Argentina</t>
  </si>
  <si>
    <t>San Martín 1245 local 75, Mendoza , Argentina</t>
  </si>
  <si>
    <t>39,78373;-100,445882;San Martín 1027 local 47, Mendoza , Argentina;US;</t>
  </si>
  <si>
    <t>EXTREMO
GALERÍA KOLTON</t>
  </si>
  <si>
    <t>San Martín 1355 local 8</t>
  </si>
  <si>
    <t>San Martín 1355 local 8, Mendoza , Argentina</t>
  </si>
  <si>
    <t>CHILEX
GALERÍA BAMAC</t>
  </si>
  <si>
    <t>San Martín 1425 local 8</t>
  </si>
  <si>
    <t>San Martín 1425 local 8, Mendoza , Argentina</t>
  </si>
  <si>
    <t>San Martín 1425 local 10</t>
  </si>
  <si>
    <t>San Martín 1425 local 10, Mendoza , Argentina</t>
  </si>
  <si>
    <t>GRIDDO</t>
  </si>
  <si>
    <t>MAONOLO MORAGAS
GALERÍA BAMAC</t>
  </si>
  <si>
    <t>Bares, Restaurantes y lugares de Esparcimiento</t>
  </si>
  <si>
    <t>Juan B. Justo 473</t>
  </si>
  <si>
    <t>San Martín 1425 local 30</t>
  </si>
  <si>
    <t>Juan B. Justo 473, Mendoza , Argentina</t>
  </si>
  <si>
    <t>San Martín 1425 local 30, Mendoza , Argentina</t>
  </si>
  <si>
    <t>-32,906459;-68,850114;Juan B, Justo 473, Mendoza , Argentina;Juan B, Justo 473, Villa Mercedes, Departamento Godoy Cruz, Mendoza, AR;</t>
  </si>
  <si>
    <t>SASTRERÍA LONDON
PASAJE SAN MARTÍN</t>
  </si>
  <si>
    <t>San Martín 1136 local 12</t>
  </si>
  <si>
    <t>San Martín 1136 local 12, Mendoza , Argentina</t>
  </si>
  <si>
    <t>VIA DI BAMBINO
GALERÍA PIAZZA</t>
  </si>
  <si>
    <t>San Martín 1027 local 4</t>
  </si>
  <si>
    <t>San Martín 1027 local 4, Mendoza , Argentina</t>
  </si>
  <si>
    <t>MENDOZA URBANO
GALERÍA PIAZZA</t>
  </si>
  <si>
    <t>San Martín 1027 local 14</t>
  </si>
  <si>
    <t>LOMORO</t>
  </si>
  <si>
    <t>San Martín 1027 local 14, Mendoza , Argentina</t>
  </si>
  <si>
    <t>Juan B. Justo 415</t>
  </si>
  <si>
    <t>Juan B. Justo 415, Mendoza , Argentina</t>
  </si>
  <si>
    <t>-32,906532;-68,849293;Juan B, Justo 415, Mendoza , Argentina;Juan B, Justo 415, Villa Mercedes, Departamento Godoy Cruz, Mendoza, AR;</t>
  </si>
  <si>
    <t>Indumentaria Unisex</t>
  </si>
  <si>
    <t>9 de July 1133</t>
  </si>
  <si>
    <t>9 de julio 1133, Mendoza , Argentina</t>
  </si>
  <si>
    <t>N°;Mapa;MZ;Nombre de Fantasía (1);Grupo/COLOR (sistema);Rubro 2 (2);Dirección (3);Dirección (por las dudas);CP;Domicilio;Lng;Lat</t>
  </si>
  <si>
    <t>217;10. 9 de Julio;11;ANA SELLOS;SERVICIOS;Bienes y servicios para eventos;9 de julio 1157;9 de julio 1157;</t>
  </si>
  <si>
    <t>Av. San Martín 1499</t>
  </si>
  <si>
    <t>Mendoza</t>
  </si>
  <si>
    <t>Argentina;9 de julio 1157</t>
  </si>
  <si>
    <t>Av. San Martín 1499, Mendoza , Argentina</t>
  </si>
  <si>
    <t>Argentina;;</t>
  </si>
  <si>
    <t>THE NOOK</t>
  </si>
  <si>
    <t>546;3. San Martín;7;MIX COMPRAS COMPRAS;SERVICIOS;Bienes y servicios para eventos;Av. San Martín 1573;Av. San Martín 1573;</t>
  </si>
  <si>
    <t>Juan B. Justo 639</t>
  </si>
  <si>
    <t>Argentina;Av. San Martín 1573</t>
  </si>
  <si>
    <t>Juan B. Justo 639, Mendoza , Argentina</t>
  </si>
  <si>
    <t>Av. San Martín 1465</t>
  </si>
  <si>
    <t>-33,571657;-69,012587;Juan B, Justo 639, Mendoza , Argentina;Juan B, Justo, Tunuyán, Distrito Ciudad de Tunuyán, Mendoza, AR;</t>
  </si>
  <si>
    <t>Av. San Martín 1465, Mendoza , Argentina</t>
  </si>
  <si>
    <t>649;3. San Martín;15;ENTRETENIMIENTOS AVENIDA;SERVICIOS;Bienes y servicios para eventos;Av. San Martín 950;Av. San Martín 950 local medio;</t>
  </si>
  <si>
    <t>Argentina;Av. San Martín 950</t>
  </si>
  <si>
    <t>LA FERIA DE LA ROPA</t>
  </si>
  <si>
    <t>764;4. San Martín;13;BLOW MAX;SERVICIOS;Bienes y servicios para eventos;E. Blanco 50;E. Blanco 50;</t>
  </si>
  <si>
    <t>Argentina;E. Blanco 50</t>
  </si>
  <si>
    <t>EXTERMINIO</t>
  </si>
  <si>
    <t>841;5. Las Heras;4;MATCH ENTRETENIMIENTO;SERVICIOS;Bienes y servicios para eventos;Av. Las Heras 385;Av. Las Heras 385;</t>
  </si>
  <si>
    <t>Av. Las Heras 293</t>
  </si>
  <si>
    <t>Argentina;Av. Las Heras 385</t>
  </si>
  <si>
    <t>JUAN B. POCO</t>
  </si>
  <si>
    <t>Av. Las Heras 293, Mendoza , Argentina</t>
  </si>
  <si>
    <t>Juan B. Justo 836</t>
  </si>
  <si>
    <t>Juan B. Justo 836, Mendoza , Argentina</t>
  </si>
  <si>
    <t>-33,571657;-69,012587;Juan B, Justo 836, Mendoza , Argentina;Juan B, Justo, Tunuyán, Distrito Ciudad de Tunuyán, Mendoza, AR;</t>
  </si>
  <si>
    <t>HOSTAL CONFLUENCIA</t>
  </si>
  <si>
    <t>Av. Las Heras 473</t>
  </si>
  <si>
    <t>España 1512</t>
  </si>
  <si>
    <t>Av. Las Heras 473, Mendoza , Argentina</t>
  </si>
  <si>
    <t>1187;8. Godoy Cruz;1;COTILLÓN CIRCUS;SERVICIOS;Bienes y servicios para eventos;Godoy Cruz 61;Godoy Cruz 61 local medio;</t>
  </si>
  <si>
    <t>Av. Las Heras 102</t>
  </si>
  <si>
    <t>Argentina;Godoy Cruz 61</t>
  </si>
  <si>
    <t>1196;8. Godoy Cruz;2;EL PORTEÑITO;SERVICIOS;Bienes y servicios para eventos;Godoy Cruz 137;Godoy Cruz 137 local medio;</t>
  </si>
  <si>
    <t>Argentina;Godoy Cruz 137</t>
  </si>
  <si>
    <t>9 de July 0990</t>
  </si>
  <si>
    <t>NINO´S PIZZA</t>
  </si>
  <si>
    <t>Av. Las Heras 102, Mendoza , Argentina</t>
  </si>
  <si>
    <t>1199;8. Godoy Cruz;2;CASA SEGAL;SERVICIOS;Bienes y servicios para eventos;Godoy Cruz 171;Godoy Cruz 171 local derecha;</t>
  </si>
  <si>
    <t>Juan B. Justo 614</t>
  </si>
  <si>
    <t>Argentina;Godoy Cruz 171</t>
  </si>
  <si>
    <t>Juan B. Justo 614, Mendoza , Argentina</t>
  </si>
  <si>
    <t>-33,571657;-69,012587;Juan B, Justo 614, Mendoza , Argentina;Juan B, Justo, Tunuyán, Distrito Ciudad de Tunuyán, Mendoza, AR;</t>
  </si>
  <si>
    <t>Godoy Cruz 54</t>
  </si>
  <si>
    <t>1259;9. España;2;EL TUPINAMBA;SERVICIOS;Bienes y servicios para eventos;España 1544;España 1544;</t>
  </si>
  <si>
    <t>Godoy Cruz 54, Mendoza , Argentina</t>
  </si>
  <si>
    <t>Argentina;España 1544</t>
  </si>
  <si>
    <t>JOHN FOOS
GALERÍA CARACOL</t>
  </si>
  <si>
    <t>Indumentaria y accesorios</t>
  </si>
  <si>
    <t>1331;9. España;14;LAPAKO;SERVICIOS;Bienes y servicios para eventos;Av. Las Heras 198;Av. Las Heras 198 ( esquina españa);</t>
  </si>
  <si>
    <t>San Martín 1245 local 52/53</t>
  </si>
  <si>
    <t>San Martín 1245 local 52/53, Mendoza , Argentina</t>
  </si>
  <si>
    <t>Argentina;Av. Las Heras 198</t>
  </si>
  <si>
    <t>JAMAICA RATS
GALERÍA CARACOL</t>
  </si>
  <si>
    <t>San Martín 1245 local 61</t>
  </si>
  <si>
    <t>LA FLOR DE LA CANELA</t>
  </si>
  <si>
    <t>San Martín 1245 local 61, Mendoza , Argentina</t>
  </si>
  <si>
    <t>Juan B. Justo 426</t>
  </si>
  <si>
    <t>Juan B. Justo 426, Mendoza , Argentina</t>
  </si>
  <si>
    <t>#OUTIT
GALERÍA CARACOL</t>
  </si>
  <si>
    <t>-32,906677;-68,849479;Juan B, Justo 426, Mendoza , Argentina;Juan B, Justo 426, Villa Mercedes, Departamento Godoy Cruz, Mendoza, AR;</t>
  </si>
  <si>
    <t>1332;9. España;15;EL PORTEÑITO;SERVICIOS;Bienes y servicios para eventos;España 1531;España 1531;</t>
  </si>
  <si>
    <t>San Martín 1245 local 68</t>
  </si>
  <si>
    <t>Argentina;España 1531</t>
  </si>
  <si>
    <t>San Martín 1245 local 68, Mendoza , Argentina</t>
  </si>
  <si>
    <t>1392;;;"DISFRACES RULITOS</t>
  </si>
  <si>
    <t>Indumentaria y Calzado Niños</t>
  </si>
  <si>
    <t>GALERÍA TOMSA";SERVICIOS;Bienes y servicios para eventos;San Martín 1167 local s88;;</t>
  </si>
  <si>
    <t>9 de July 1674</t>
  </si>
  <si>
    <t>Argentina;San Martín 1167 local s88</t>
  </si>
  <si>
    <t>1395;;;"OARA KIS DIS</t>
  </si>
  <si>
    <t>GALERÍA TOMSA";SERVICIOS;Bienes y servicios para eventos;San Martín 1167 local s104;;</t>
  </si>
  <si>
    <t>Argentina;San Martín 1167 local s104</t>
  </si>
  <si>
    <t>1402;;;"L Y L</t>
  </si>
  <si>
    <t>GALERÍA TOMSA";SERVICIOS;Bienes y servicios para eventos;San Martín 1167 local s136;;</t>
  </si>
  <si>
    <t>Argentina;San Martín 1167 local s136</t>
  </si>
  <si>
    <t>1403;;;"PICCADILLY</t>
  </si>
  <si>
    <t>GALERÍA TOMSA";SERVICIOS;Bienes y servicios para eventos;San Martín 1167 local s140;;</t>
  </si>
  <si>
    <t>Argentina;San Martín 1167 local s140</t>
  </si>
  <si>
    <t>1405;;;"EJECUTIVOS</t>
  </si>
  <si>
    <t>GALERÍA TOMSA";SERVICIOS;Bienes y servicios para eventos;San Martín 1167 local s73;;</t>
  </si>
  <si>
    <t>Argentina;San Martín 1167 local s73</t>
  </si>
  <si>
    <t>1410;;;"EJECUTIVO</t>
  </si>
  <si>
    <t>GALERÍA TOMSA";SERVICIOS;Bienes y servicios para eventos;San Martín 1167 local s49;;</t>
  </si>
  <si>
    <t>Argentina;San Martín 1167 local s49</t>
  </si>
  <si>
    <t>1411;;;"TROFEOS OLIMPICOS</t>
  </si>
  <si>
    <t>GALERÍA TOMSA";SERVICIOS;Bienes y servicios para eventos;San Martín 1167 local s45;;</t>
  </si>
  <si>
    <t>Argentina;San Martín 1167 local s45</t>
  </si>
  <si>
    <t>1415;;;"PREMIOS GRADIADOR</t>
  </si>
  <si>
    <t>GALERÍA TOMSA";SERVICIOS;Bienes y servicios para eventos;San Martín 1167 local s33;;</t>
  </si>
  <si>
    <t>Argentina;San Martín 1167 local s33</t>
  </si>
  <si>
    <t>1429;;;"ABRACADABRA</t>
  </si>
  <si>
    <t>GALERÍA TOMSA";SERVICIOS;Bienes y servicios para eventos;San Martín 1167 local v16m;;</t>
  </si>
  <si>
    <t>Argentina;San Martín 1167 local v16m</t>
  </si>
  <si>
    <t>1616;;;"FOTO MANIA</t>
  </si>
  <si>
    <t>GALERÍA PIAZZA";SERVICIOS;Bienes y servicios para eventos;San Martín 1027 local 10;;</t>
  </si>
  <si>
    <t>Argentina;San Martín 1027 local 10</t>
  </si>
  <si>
    <t>1623;;;"MAGESTI X</t>
  </si>
  <si>
    <t>GALERÍA PIAZZA";SERVICIOS;Bienes y servicios para eventos;San Martín 1027 local 32-33;;</t>
  </si>
  <si>
    <t>Argentina;San Martín 1027 local 32-33</t>
  </si>
  <si>
    <t>28;1. Juan B Justo;6;HOSPITAL DE VETERINARIA;SERVICIOS;Bienes y servicios para mascotas;Juan B. Justo 535;Juan B. Justo 535;</t>
  </si>
  <si>
    <t>Argentina;Juan B. Justo 535</t>
  </si>
  <si>
    <t>39;1. Juan B Justo;8;CROMOLOGÍAS;SERVICIOS;Fotografía e imagen;Juan B. Justo 781;Juan B. Justo 781;</t>
  </si>
  <si>
    <t>Argentina;Juan B. Justo 781</t>
  </si>
  <si>
    <t>80;1. Juan B Justo;15;FOTO PRINT;SERVICIOS;Fotografía e imagen;Juan B. Justo 172;Juan B. Justo 172;</t>
  </si>
  <si>
    <t>Argentina;Juan B. Justo 172</t>
  </si>
  <si>
    <t>163;10. 9 de Julio;8;PIEZA GRAFICA;SERVICIOS;Fotografía e imagen;9 de Julio 990;9 de Julio 990;</t>
  </si>
  <si>
    <t>Argentina;9 de Julio 990</t>
  </si>
  <si>
    <t>426;2. Arístides;8;KAV GRÁFICA;SERVICIOS;Fotografía e imagen;Arístides Villanueva 758;Arístides Villanueva 758 local izquierda;</t>
  </si>
  <si>
    <t>Argentina;Arístides Villanueva 758</t>
  </si>
  <si>
    <t>559;3. San Martín;7;KODAK CELULARES;SERVICIOS;Fotografía e imagen;Av. San Martín 1501;Av. San Martín 1501;</t>
  </si>
  <si>
    <t>Argentina;Av. San Martín 1501</t>
  </si>
  <si>
    <t>648;3. San Martín;15;KOLOR EXPRESS;SERVICIOS;Fotografía e imagen;Av. San Martín 950;"Av. San Martín 950 local der.;der.";</t>
  </si>
  <si>
    <t>902;5. Las Heras;12;PHOTOLAB;SERVICIOS;Fotografía e imagen;Av. Las Heras 412;Av. Las Heras 412;</t>
  </si>
  <si>
    <t>Argentina;Av. Las Heras 412</t>
  </si>
  <si>
    <t>1152;7. Espejo;4;CENTRO DE COPIADO;SERVICIOS;Fotografía e imagen;Espejo 206;Espejo 206;</t>
  </si>
  <si>
    <t>Argentina;Espejo 206</t>
  </si>
  <si>
    <t>1304;9. España;9;DIXET;SERVICIOS;Fotografía e imagen;España 1029;España 1029;</t>
  </si>
  <si>
    <t>Argentina;España 1029</t>
  </si>
  <si>
    <t>1655;;;"AZNAR IMPRESIONES</t>
  </si>
  <si>
    <t>GALERÍA SAN MARCOS";SERVICIOS;Fotografía e imagen;Sarmiento 133 local 34;;</t>
  </si>
  <si>
    <t>Argentina;Sarmiento 133 local 34</t>
  </si>
  <si>
    <t>1666;;;"VÍDEO FILMACIÓN</t>
  </si>
  <si>
    <t>GALERÍA VÍA DEL SOL";SERVICIOS;Fotografía e imagen;Av. Las Heras 430 local 36;;</t>
  </si>
  <si>
    <t>Argentina;Av. Las Heras 430 local 36</t>
  </si>
  <si>
    <t>245;10. 9 de Julio;15;NATANIA;SERVICIOS;Inmobiliaria y bienes raices;9 de Julio 1557;9 de Julio 1557;</t>
  </si>
  <si>
    <t>Argentina;9 de Julio 1557</t>
  </si>
  <si>
    <t>360;12. Sarmiento;5;PREIDENTE NEGOCIOS INMOBILIARIOS;SERVICIOS;Inmobiliaria y bienes raices;Av. Sarmiento 602;Av. Sarmiento 602;</t>
  </si>
  <si>
    <t>Argentina;Av. Sarmiento 602</t>
  </si>
  <si>
    <t>990;6. Colón;4;JULIO EDGARDO MENGONI;SERVICIOS;Inmobiliaria y bienes raices;Av. Colón 309;Av. Colón 309;</t>
  </si>
  <si>
    <t>Argentina;Av. Colón 309</t>
  </si>
  <si>
    <t>1017;6. Colón;7;MANUEL OTERO;SERVICIOS;Inmobiliaria y bienes raices;Av. Colón 619;Av. Colón 619;</t>
  </si>
  <si>
    <t>Argentina;Av. Colón 619</t>
  </si>
  <si>
    <t>1018;6. Colón;7;ENTE INMOBILIARIA;SERVICIOS;Inmobiliaria y bienes raices;Av. Colón 629;Av. Colón 629;</t>
  </si>
  <si>
    <t>Argentina;Av. Colón 629</t>
  </si>
  <si>
    <t>1054;6. Colón;12;ARENAS PROPIEDADES INMOBILIARIAS;SERVICIOS;Inmobiliaria y bienes raices;Av. Colón 490;Av. Colón 490;</t>
  </si>
  <si>
    <t>Argentina;Av. Colón 490</t>
  </si>
  <si>
    <t>9 de Julio 1674, Mendoza , Argentina</t>
  </si>
  <si>
    <t>1442;;;"ASESOR INMOBILIARIO</t>
  </si>
  <si>
    <t>EL SORO CAFÉ</t>
  </si>
  <si>
    <t>GALERÍA TOMSA";SERVICIOS;Inmobiliaria y bienes raices;San Martín 1167 local m11;;</t>
  </si>
  <si>
    <t>Argentina;San Martín 1167 local m11</t>
  </si>
  <si>
    <t>1443;;;"NEGOCIOS INMOBILIARIOS</t>
  </si>
  <si>
    <t>GALERÍA TOMSA";SERVICIOS;Inmobiliaria y bienes raices;San Martín 1167 local m16;;</t>
  </si>
  <si>
    <t>Argentina;San Martín 1167 local m16</t>
  </si>
  <si>
    <t>;6. Colón;5;SEND BOX ENCOMIENDAS;SERVICIOS;Servicios de transporte y mudanzas;Av. Colón 439;Av. Colón 439;</t>
  </si>
  <si>
    <t>9 de July 1214</t>
  </si>
  <si>
    <t>Argentina;Av. Colón 439</t>
  </si>
  <si>
    <t>9 de July 1586</t>
  </si>
  <si>
    <t>86;1. Juan B Justo;16;TRIUNFO SEGUROS;SERVICIOS;Servicios financieros y de seguros;Juan B. Justo 66;Juan B. Justo 66;</t>
  </si>
  <si>
    <t>Argentina;Juan B. Justo 66</t>
  </si>
  <si>
    <t>9 de Julio 1586, Mendoza , Argentina</t>
  </si>
  <si>
    <t>9 de Julio 1214, Mendoza , Argentina</t>
  </si>
  <si>
    <t>113;10. 9 de Julio;5;BANCO HSBC;SERVICIOS;Servicios financieros y de seguros;9 de Julio 1256;9 de Julio 1256;</t>
  </si>
  <si>
    <t>Argentina;9 de Julio 1256</t>
  </si>
  <si>
    <t>-34,972739;-67,68561;9 de Julio 1214, Mendoza , Argentina;9 de Julio, General Alvear, Distrito Ciudad de General Alvear, Mendoza, AR;</t>
  </si>
  <si>
    <t>114;10. 9 de Julio;5;BANCO MACRO;SERVICIOS;Servicios financieros y de seguros;9 de Julio 1228;9 de Julio 1228;</t>
  </si>
  <si>
    <t>Argentina;9 de Julio 1228</t>
  </si>
  <si>
    <t>9 de July 1168</t>
  </si>
  <si>
    <t>115;10. 9 de Julio;5;BANCO CREDICOP;SERVICIOS;Servicios financieros y de seguros;9 de Julio 1224;9 de Julio 1224;</t>
  </si>
  <si>
    <t>9 de Julio 1168, Mendoza , Argentina</t>
  </si>
  <si>
    <t>Argentina;9 de Julio 1224</t>
  </si>
  <si>
    <t>118;10. 9 de Julio;6;"LA EQUITATIVA DEL PLATA</t>
  </si>
  <si>
    <t>SEGUROS GENERALES";SERVICIOS;Servicios financieros y de seguros;9 de Julio 1190;9 de Julio 1190;</t>
  </si>
  <si>
    <t>9 de July 1164</t>
  </si>
  <si>
    <t>Argentina;9 de Julio 1190</t>
  </si>
  <si>
    <t>9 de Julio 1164, Mendoza , Argentina</t>
  </si>
  <si>
    <t>122;10. 9 de Julio;6;BANCO ITAÚ;SERVICIOS;Servicios financieros y de seguros;9 de Julio 1158;9 de Julio 1158;</t>
  </si>
  <si>
    <t>Argentina;9 de Julio 1158</t>
  </si>
  <si>
    <t>124;10. 9 de Julio;6;CANO BURSATIL;SERVICIOS;Servicios financieros y de seguros;9 de Julio 1126 Dpto 26;9 de Julio 1126 Dpto 26;</t>
  </si>
  <si>
    <t>Argentina;9 de Julio 1126 Dpto 26</t>
  </si>
  <si>
    <t>9 de Julio 1090, Mendoza , Argentina</t>
  </si>
  <si>
    <t>126;10. 9 de Julio;6;INVERSIONES Y PROYECTOS;SERVICIOS;Servicios financieros y de seguros;9 de Julio 1126 Dpto 24;9 de Julio 1126 Dpto 24;</t>
  </si>
  <si>
    <t>Argentina;9 de Julio 1126 Dpto 24</t>
  </si>
  <si>
    <t>133;10. 9 de Julio;6;GMF;SERVICIOS;Servicios financieros y de seguros;9 de Julio 1126 Dpto 5;9 de Julio 1126 Dpto 5;</t>
  </si>
  <si>
    <t>Argentina;9 de Julio 1126 Dpto 5</t>
  </si>
  <si>
    <t>135;10. 9 de Julio;6;CE FINANCIAL GROUP;SERVICIOS;Servicios financieros y de seguros;9 de Julio 1126 Dpto 2;9 de Julio 1126 Dpto 2 local derecha;</t>
  </si>
  <si>
    <t>Argentina;9 de Julio 1126 Dpto 2</t>
  </si>
  <si>
    <t>MÁXIMO CAFÉ</t>
  </si>
  <si>
    <t>228;10. 9 de Julio;12;BANCO SUPERVIELLE;SERVICIOS;Servicios financieros y de seguros;9 de Julio 1261-1297;9 de Julio 1261-1297;</t>
  </si>
  <si>
    <t>Argentina;9 de Julio 1261-1297</t>
  </si>
  <si>
    <t>9 de July 1012</t>
  </si>
  <si>
    <t>9 de Julio 1012, Mendoza , Argentina</t>
  </si>
  <si>
    <t>9 de July 1210</t>
  </si>
  <si>
    <t>230;10. 9 de Julio;14;BANCO MACRO;SERVICIOS;Servicios financieros y de seguros;9 de Julio y Necochea ;9 de Julio y Necochea ;</t>
  </si>
  <si>
    <t>9 de Julio 1210 local derecha</t>
  </si>
  <si>
    <t>Argentina;9 de Julio y Necochea</t>
  </si>
  <si>
    <t>9 de Julio 1210, Mendoza , Argentina</t>
  </si>
  <si>
    <t>-34,972739;-67,68561;9 de Julio 1210, Mendoza , Argentina;9 de Julio, General Alvear, Distrito Ciudad de General Alvear, Mendoza, AR;</t>
  </si>
  <si>
    <t>232;10. 9 de Julio;14;TRES PROVINCIAS SEGUROS;SERVICIOS;Servicios financieros y de seguros;9 de Julio 1475;9 de Julio 1475;</t>
  </si>
  <si>
    <t>Argentina;9 de Julio 1475</t>
  </si>
  <si>
    <t>;11. Peatonal;;WESTERN UNION;SERVICIOS;Servicios financieros y de seguros;Peatonal Sarmiento 229;Peatonal Sarmiento 229;</t>
  </si>
  <si>
    <t>Argentina;Peatonal Sarmiento 229</t>
  </si>
  <si>
    <t>305;11. Peatonal;4;GARANTIZAR;SERVICIOS;Servicios financieros y de seguros;Peatonal Sarmiento 240;Peatonal Sarmiento 240 local derecha;</t>
  </si>
  <si>
    <t>Argentina;Peatonal Sarmiento 240</t>
  </si>
  <si>
    <t>310;11. Peatonal;5;BANCO HIPOTECARIO;SERVICIOS;Servicios financieros y de seguros;Peatonal Sarmiento y España ;Peatonal Sarmiento y España ;</t>
  </si>
  <si>
    <t>Argentina;Peatonal Sarmiento y España</t>
  </si>
  <si>
    <t>332;11. Peatonal;6;BANCO SANTANDER;SERVICIOS;Servicios financieros y de seguros;Peatonal Sarmiento y Av. San Martín ;Peatonal Sarmiento y Av. San Martín ;</t>
  </si>
  <si>
    <t>Argentina;Peatonal Sarmiento y Av. San Martín</t>
  </si>
  <si>
    <t>BALCARCE</t>
  </si>
  <si>
    <t>391;2. Arístides;3;BANCO MACRO;SERVICIOS;Servicios financieros y de seguros;Arístides Villanueva 335;Arístides Villanueva 335;</t>
  </si>
  <si>
    <t>Argentina;Arístides Villanueva 335</t>
  </si>
  <si>
    <t>9 de Julio 1126 Dpto 29-30-31, Mendoza , Argentina</t>
  </si>
  <si>
    <t>39,78373;-100,445882;9 de Julio 1126 Dpto 29-30-31, Mendoza , Argentina;US;</t>
  </si>
  <si>
    <t>495;3. San Martín;3;CAMBIO SANTIAGO;SERVICIOS;Servicios financieros y de seguros;Av. San Martín 1199;Av. San Martín 1199;</t>
  </si>
  <si>
    <t>Argentina;Av. San Martín 1199</t>
  </si>
  <si>
    <t>502;3. San Martín;4;GUIÑAZÚ MAGITUR;SERVICIOS;Servicios financieros y de seguros;Av. San Martín 1203;Av. San Martín 1203;</t>
  </si>
  <si>
    <t>Argentina;Av. San Martín 1203</t>
  </si>
  <si>
    <t>9 de Julio 966, Mendoza , Argentina</t>
  </si>
  <si>
    <t>503;3. San Martín;4;BANCO COLUMBIA;SERVICIOS;Servicios financieros y de seguros;Av. San Martín 1273;Av. San Martín 1273;</t>
  </si>
  <si>
    <t>Argentina;Av. San Martín 1273</t>
  </si>
  <si>
    <t>542;3. San Martín;6;PROVENCRED;SERVICIOS;Servicios financieros y de seguros;Av. San Martín 1415;Av. San Martín 1415;</t>
  </si>
  <si>
    <t>Argentina;Av. San Martín 1415</t>
  </si>
  <si>
    <t>ALMENDRO EN FLOR</t>
  </si>
  <si>
    <t>543;3. San Martín;6;EFECTIVO SI;SERVICIOS;Servicios financieros y de seguros;Av. San Martín 1435;Av. San Martín 1435;</t>
  </si>
  <si>
    <t>Argentina;Av. San Martín 1435</t>
  </si>
  <si>
    <t>9 de Julio y   Sarmiento</t>
  </si>
  <si>
    <t>9 de July 0920</t>
  </si>
  <si>
    <t>602;3. San Martín;11;NARANJA;SERVICIOS;Servicios financieros y de seguros;Av. San Martín 1390;Av. San Martín 1390 local derecha;</t>
  </si>
  <si>
    <t>Argentina;Av. San Martín 1390</t>
  </si>
  <si>
    <t>9 de Julio 920, Mendoza , Argentina</t>
  </si>
  <si>
    <t>9 de Julio y  Sarmiento , Mendoza , Argentina</t>
  </si>
  <si>
    <t>-37,982673;-57,573144;9 de Julio y  Sarmiento , Mendoza , Argentina;9 de Julio, Mar del Plata, Buenos Aires, AR;</t>
  </si>
  <si>
    <t>605;3. San Martín;11;BANCO NACIÓN;SERVICIOS;Servicios financieros y de seguros;Av. San Martín y Gutierrez ;Av. San Martín y Gutierrez ;</t>
  </si>
  <si>
    <t>Argentina;Av. San Martín y Gutierrez</t>
  </si>
  <si>
    <t>627;3. San Martín;13;MONTEMAR;SERVICIOS;Servicios financieros y de seguros;Av. San Martín 1152;Av. San Martín 1152;</t>
  </si>
  <si>
    <t>Argentina;Av. San Martín 1152</t>
  </si>
  <si>
    <t>;3. San Martín;;TRIUNFO SEGUROS;SERVICIOS;Servicios financieros y de seguros;Av. San Martín 1092;Av. San Martín 1092;</t>
  </si>
  <si>
    <t>Argentina;Av. San Martín 1092</t>
  </si>
  <si>
    <t>9 de julio 923, Mendoza , Argentina</t>
  </si>
  <si>
    <t>;3. San Martín;;NARANJA;SERVICIOS;Servicios financieros y de seguros;Av. San Martín 1052;Av. San Martín 1052;</t>
  </si>
  <si>
    <t>Argentina;Av. San Martín 1052</t>
  </si>
  <si>
    <t>642;3. San Martín;14;BANCO SANTANDER;SERVICIOS;Servicios financieros y de seguros;Av. San Martín y Peatonal Sarmiento ;Av. San Martín y Peatonal Sarmiento ;</t>
  </si>
  <si>
    <t>Argentina;Av. San Martín y Peatonal Sarmiento</t>
  </si>
  <si>
    <t>THE MOST</t>
  </si>
  <si>
    <t>9 de July 0947</t>
  </si>
  <si>
    <t>656;3. San Martín;15;BANCO FRANCÉS;SERVICIOS;Servicios financieros y de seguros;Av. San Martín 936;Av. San Martín 936;</t>
  </si>
  <si>
    <t>9 de Julio 947, Mendoza , Argentina</t>
  </si>
  <si>
    <t>Argentina;Av. San Martín 936</t>
  </si>
  <si>
    <t>829;5. Las Heras;4;RAPIPAGO;SERVICIOS;Servicios financieros y de seguros;Av. Las Heras 311;Av. Las Heras 311 local derecha;</t>
  </si>
  <si>
    <t>Argentina;Av. Las Heras 311</t>
  </si>
  <si>
    <t>831;5. Las Heras;4;CRÉDITO ARGENTINO;SERVICIOS;Servicios financieros y de seguros;Av. Las Heras 341;Av. Las Heras 341;</t>
  </si>
  <si>
    <t>Argentina;Av. Las Heras 341</t>
  </si>
  <si>
    <t>833;5. Las Heras;4;SAA CRÉDITOS;SERVICIOS;Servicios financieros y de seguros;Av. Las Heras 359;Av. Las Heras 359;</t>
  </si>
  <si>
    <t>Argentina;Av. Las Heras 359</t>
  </si>
  <si>
    <t>9 de julio 907, Mendoza , Argentina</t>
  </si>
  <si>
    <t>834;5. Las Heras;4;PRÉSTAMOS;SERVICIOS;Servicios financieros y de seguros;Av. Las Heras 365;Av. Las Heras 365;</t>
  </si>
  <si>
    <t>-34,972739;-67,68561;9 de julio 907, Mendoza , Argentina;9 de Julio, General Alvear, Distrito Ciudad de General Alvear, Mendoza, AR;</t>
  </si>
  <si>
    <t>Argentina;Av. Las Heras 365</t>
  </si>
  <si>
    <t>835;5. Las Heras;4;PROVENCRED;SERVICIOS;Servicios financieros y de seguros;Av. Las Heras 373;Av. Las Heras 373;</t>
  </si>
  <si>
    <t>Argentina;Av. Las Heras 373</t>
  </si>
  <si>
    <t>844;5. Las Heras;5;COREFIN;SERVICIOS;Servicios financieros y de seguros;Av. Las Heras 409;Av. Las Heras 409;</t>
  </si>
  <si>
    <t>Argentina;Av. Las Heras 409</t>
  </si>
  <si>
    <t>845;5. Las Heras;5;NARANJA;SERVICIOS;Servicios financieros y de seguros;Av. Las Heras 415;Av. Las Heras 415;</t>
  </si>
  <si>
    <t>Argentina;Av. Las Heras 415</t>
  </si>
  <si>
    <t>901;5. Las Heras;12;BANCO SUPERVIELLE;SERVICIOS;Servicios financieros y de seguros;Av. Las Heras 435;Av. Las Heras 435;</t>
  </si>
  <si>
    <t>Argentina;Av. Las Heras 435</t>
  </si>
  <si>
    <t>913;5. Las Heras;13;CREDIL;SERVICIOS;Servicios financieros y de seguros;Av. Las Heras 370;Av. Las Heras 370 local derecha;</t>
  </si>
  <si>
    <t>Argentina;Av. Las Heras 370</t>
  </si>
  <si>
    <t>914;5. Las Heras;13;AMESUP;SERVICIOS;Servicios financieros y de seguros;Av. Las Heras 348;Av. Las Heras 348;</t>
  </si>
  <si>
    <t>Argentina;Av. Las Heras 348</t>
  </si>
  <si>
    <t>938;5. Las Heras;14;CRÉDITO MÁGICO;SERVICIOS;Servicios financieros y de seguros;Av. Las Heras 216;Av. Las Heras 216;</t>
  </si>
  <si>
    <t>Argentina;Av. Las Heras 216</t>
  </si>
  <si>
    <t>949;5. Las Heras;15;RECURSOS PRÉSTAMOS;SERVICIOS;Servicios financieros y de seguros;Av. Las Heras 180;Av. Las Heras 180;</t>
  </si>
  <si>
    <t>Argentina;Av. Las Heras 180</t>
  </si>
  <si>
    <t>999;6. Colón;4;ICBC;SERVICIOS;Servicios financieros y de seguros;Av. Colón y Av. Mitre 399;Av. Colón y Av. Mitre 399;</t>
  </si>
  <si>
    <t>Argentina;Av. Colón y Av. Mitre 399</t>
  </si>
  <si>
    <t>1003;6. Colón;5;SUPERVIELLE;SERVICIOS;Servicios financieros y de seguros;Av. Colón 423;"Av. Colón 423 local izq.; izq.";</t>
  </si>
  <si>
    <t>Argentina;Av. Colón 423</t>
  </si>
  <si>
    <t>1006;6. Colón;5;HSBC;SERVICIOS;Servicios financieros y de seguros;Av. Colón 459;Av. Colón 459 local izquierda;</t>
  </si>
  <si>
    <t>Argentina;Av. Colón 459</t>
  </si>
  <si>
    <t>1008;6. Colón;6;BANCO PATAGÓNIA;SERVICIOS;Servicios financieros y de seguros;Av. Colón 501;Av. Colón 501;</t>
  </si>
  <si>
    <t>Argentina;Av. Colón 501</t>
  </si>
  <si>
    <t>9 de July 0951</t>
  </si>
  <si>
    <t>9 de Julio 951, Mendoza , Argentina</t>
  </si>
  <si>
    <t>1028;6. Colón;9;TRIUNFO SEGUROS;SERVICIOS;Servicios financieros y de seguros;Av. Colón 756;Av. Colón 756;</t>
  </si>
  <si>
    <t>Argentina;Av. Colón 756</t>
  </si>
  <si>
    <t>9 de julio 917, Mendoza , Argentina</t>
  </si>
  <si>
    <t>1131;7. Espejo;3;AMÉRICA PRESTAMOS PERSONALES;SERVICIOS;Servicios financieros y de seguros;Espejo 217;Espejo 217;</t>
  </si>
  <si>
    <t>Argentina;Espejo 217</t>
  </si>
  <si>
    <t>-34,972739;-67,68561;9 de julio 917, Mendoza , Argentina;9 de Julio, General Alvear, Distrito Ciudad de General Alvear, Mendoza, AR;</t>
  </si>
  <si>
    <t>1173;7. Espejo;6;CAMBIO EXPRESS;SERVICIOS;Servicios financieros y de seguros;Espejo 58;Espejo 58;</t>
  </si>
  <si>
    <t>9 de July 0965</t>
  </si>
  <si>
    <t>Argentina;Espejo 58</t>
  </si>
  <si>
    <t>9 de Julio 965, Mendoza , Argentina</t>
  </si>
  <si>
    <t>1218;8. Godoy Cruz;7;PROVIDENCIA SEGUROS;SERVICIOS;Servicios financieros y de seguros;Godoy Cruz 394;Godoy Cruz 394 local izquierda;</t>
  </si>
  <si>
    <t>Argentina;Godoy Cruz 394</t>
  </si>
  <si>
    <t>ANTONIA</t>
  </si>
  <si>
    <t>1311;9. España;10;BANCO HIPOTECARIO;SERVICIOS;Servicios financieros y de seguros;España y Peatonal Sarmiento ;España y Peatonal Sarmiento ;</t>
  </si>
  <si>
    <t>9 de July 0985</t>
  </si>
  <si>
    <t>Argentina;España y Peatonal Sarmiento</t>
  </si>
  <si>
    <t>9 de Julio 985, Mendoza , Argentina</t>
  </si>
  <si>
    <t>1318;9. España;11;BANCO COMAFI;SERVICIOS;Servicios financieros y de seguros;España 1121;España 1121;</t>
  </si>
  <si>
    <t>Argentina;España 1121</t>
  </si>
  <si>
    <t>ILANA</t>
  </si>
  <si>
    <t>1322;9. España;12;WESTERN UNION;SERVICIOS;Servicios financieros y de seguros;España 1233;España 1233;</t>
  </si>
  <si>
    <t>Argentina;España 1233</t>
  </si>
  <si>
    <t>9 de July 1597</t>
  </si>
  <si>
    <t>1323;9. España;12;BANCO NACIÓN;SERVICIOS;Servicios financieros y de seguros;España y Gutierrez ;España y Gutierrez ;</t>
  </si>
  <si>
    <t>9 de Julio 1597, Mendoza , Argentina</t>
  </si>
  <si>
    <t>Argentina;España y Gutierrez</t>
  </si>
  <si>
    <t>-34,972739;-67,68561;9 de Julio 1597, Mendoza , Argentina;9 de Julio, General Alvear, Distrito Ciudad de General Alvear, Mendoza, AR;</t>
  </si>
  <si>
    <t>9 de Julio 1063 Dpto 2</t>
  </si>
  <si>
    <t>;9. España;13;BANCO FRANCÉS;SERVICIOS;Servicios financieros y de seguros;España 1340;España 1340;</t>
  </si>
  <si>
    <t>9 de Julio 1063 Dpto 2, Mendoza , Argentina</t>
  </si>
  <si>
    <t>Argentina;España 1340</t>
  </si>
  <si>
    <t>;9. España;13;BANCO GALICIA;SERVICIOS;Servicios financieros y de seguros;España 1360;España 1360;</t>
  </si>
  <si>
    <t>Argentina;España 1360</t>
  </si>
  <si>
    <t>9 de July 1087</t>
  </si>
  <si>
    <t>1330;9. España;14;MERCANTIL ANDINA;SERVICIOS;Servicios financieros y de seguros;Necochea 183;Necochea 183;</t>
  </si>
  <si>
    <t>Argentina;Necochea 183</t>
  </si>
  <si>
    <t>9 de Julio 1087, Mendoza , Argentina</t>
  </si>
  <si>
    <t>1363;;;"PRESTAMOS PERSONALES</t>
  </si>
  <si>
    <t>GALERÍA MENDOZA";SERVICIOS;Servicios financieros y de seguros;San Martín 1360 local 3;;</t>
  </si>
  <si>
    <t>Argentina;San Martín 1360 local 3</t>
  </si>
  <si>
    <t>9 de July 1517</t>
  </si>
  <si>
    <t>9 de julio 1517, Mendoza , Argentina</t>
  </si>
  <si>
    <t>1376;;;"MORE</t>
  </si>
  <si>
    <t>ZEUX</t>
  </si>
  <si>
    <t>GALERÍA TOMSA";SERVICIOS;Servicios financieros y de seguros;San Martín 1167 local s26;;</t>
  </si>
  <si>
    <t xml:space="preserve">  Sarmiento 25</t>
  </si>
  <si>
    <t>Argentina;San Martín 1167 local s26</t>
  </si>
  <si>
    <t xml:space="preserve"> Sarmiento 25, Mendoza , Argentina</t>
  </si>
  <si>
    <t>-34,983771;-67,69702;Sarmiento 25, Mendoza , Argentina;Sarmiento, General Alvear, Distrito Ciudad de General Alvear, Mendoza, AR;</t>
  </si>
  <si>
    <t>1441;;;"CASA DE CAMBIO</t>
  </si>
  <si>
    <t>GALERÍA TOMSA";SERVICIOS;Servicios financieros y de seguros;San Martín 1167 local m17;;</t>
  </si>
  <si>
    <t>Argentina;San Martín 1167 local m17</t>
  </si>
  <si>
    <t>1592;;;"MONTEMAR</t>
  </si>
  <si>
    <t>PASAJE SAN MARTÍN";SERVICIOS;Servicios financieros y de seguros;San Martín 1136 local 9;;</t>
  </si>
  <si>
    <t>9 de July 1607</t>
  </si>
  <si>
    <t>Argentina;San Martín 1136 local 9</t>
  </si>
  <si>
    <t>9 de Julio 1607, Mendoza , Argentina</t>
  </si>
  <si>
    <t>1645;;;"GMF PRESTAMOS PERSONALES</t>
  </si>
  <si>
    <t>COMIDAS DE MI CAMPO</t>
  </si>
  <si>
    <t xml:space="preserve">  Sarmiento 55</t>
  </si>
  <si>
    <t>GALERÍA SAN MARCOS";SERVICIOS;Servicios financieros y de seguros;Sarmiento 133 local 5;;</t>
  </si>
  <si>
    <t>MATEO</t>
  </si>
  <si>
    <t>Argentina;Sarmiento 133 local 5</t>
  </si>
  <si>
    <t xml:space="preserve"> Sarmiento 55, Mendoza , Argentina</t>
  </si>
  <si>
    <t>9 de July 1631</t>
  </si>
  <si>
    <t>-34,983771;-67,69702;Sarmiento 55, Mendoza , Argentina;Sarmiento, General Alvear, Distrito Ciudad de General Alvear, Mendoza, AR;</t>
  </si>
  <si>
    <t>1646;;;"FINANCIAL GROUP</t>
  </si>
  <si>
    <t>9 de Julio 1631, Mendoza , Argentina</t>
  </si>
  <si>
    <t>GALERÍA SAN MARCOS";SERVICIOS;Servicios financieros y de seguros;Sarmiento 133 local 2B;;</t>
  </si>
  <si>
    <t>Argentina;Sarmiento 133 local 2B</t>
  </si>
  <si>
    <t>1647;;;"CANO BURSATIL S.A</t>
  </si>
  <si>
    <t>GALERÍA SAN MARCOS";SERVICIOS;Servicios financieros y de seguros;Sarmiento 133 local 26;;</t>
  </si>
  <si>
    <t>9 de July 1683</t>
  </si>
  <si>
    <t>Argentina;Sarmiento 133 local 26</t>
  </si>
  <si>
    <t>9 de Julio 1683, Mendoza , Argentina</t>
  </si>
  <si>
    <t>1649;;;"INVERSIONES Y PROYECTOS</t>
  </si>
  <si>
    <t>KINGO</t>
  </si>
  <si>
    <t xml:space="preserve">  Sarmiento 59</t>
  </si>
  <si>
    <t>GALERÍA SAN MARCOS";SERVICIOS;Servicios financieros y de seguros;Sarmiento 133 local 25;;</t>
  </si>
  <si>
    <t>Argentina;Sarmiento 133 local 25</t>
  </si>
  <si>
    <t xml:space="preserve"> Sarmiento 59, Mendoza , Argentina</t>
  </si>
  <si>
    <t>-34,983771;-67,69702;Sarmiento 59, Mendoza , Argentina;Sarmiento, General Alvear, Distrito Ciudad de General Alvear, Mendoza, AR;</t>
  </si>
  <si>
    <t>Av. Las Heras 70 local izquierda</t>
  </si>
  <si>
    <t>4;1. Juan B Justo;1;CONTROLADORES FISCALES;SERVICIOS;Servicios profesionales;Juan B. Justo 85;Juan B. Justo 85;</t>
  </si>
  <si>
    <t>Argentina;Juan B. Justo 85</t>
  </si>
  <si>
    <t>JOCKEY CLUB
CAFÉ-BAR</t>
  </si>
  <si>
    <t>48;1. Juan B Justo;10;SERVICIO TÉCNICO;SERVICIOS;Servicios profesionales;Juan B. Justo 612;Juan B. Justo 612;</t>
  </si>
  <si>
    <t>Argentina;Juan B. Justo 612</t>
  </si>
  <si>
    <t>Av. San Martín 1477</t>
  </si>
  <si>
    <t>Espejo 194</t>
  </si>
  <si>
    <t>Av. San Martín 1477, Mendoza , Argentina</t>
  </si>
  <si>
    <t>66;1. Juan B Justo;13;LETREROS FARRERAS;SERVICIOS;Servicios profesionales;Juan B. Justo 308;Juan B. Justo 308;</t>
  </si>
  <si>
    <t>Argentina;Juan B. Justo 308</t>
  </si>
  <si>
    <t>127;10. 9 de Julio;6;AG ASOCIADOS;SERVICIOS;Servicios profesionales;9 de Julio 1126 Dpto 22;9 de Julio 1126 Dpto 22;</t>
  </si>
  <si>
    <t>Argentina;9 de Julio 1126 Dpto 22</t>
  </si>
  <si>
    <t>EVA MILLER</t>
  </si>
  <si>
    <t>134;10. 9 de Julio;6;GRUPO BUNO;SERVICIOS;Servicios Profesionales;9 de Julio 1126 Dpto 4;9 de Julio 1126 Dpto 4;</t>
  </si>
  <si>
    <t>Argentina;9 de Julio 1126 Dpto 4</t>
  </si>
  <si>
    <t>207;10. 9 de Julio;10;HASAR;SERVICIOS;Servicios Profesionales;9 de julio 1087;9 de julio 1087 local izquierda;</t>
  </si>
  <si>
    <t>Argentina;9 de julio 1087</t>
  </si>
  <si>
    <t>353;12. Sarmiento;4;ITC;SERVICIOS;Servicios Profesionales;Av. Sarmiento 744;Av. Sarmiento 744;</t>
  </si>
  <si>
    <t>Argentina;Av. Sarmiento 744</t>
  </si>
  <si>
    <t>427;2. Arístides;8;ROID IMPRESIONES DIGITALES;SERVICIOS;Servicios Profesionales;Arístides Villanueva 752;Arístides Villanueva 752;</t>
  </si>
  <si>
    <t>Av. San Martín 1599</t>
  </si>
  <si>
    <t>Argentina;Arístides Villanueva 752</t>
  </si>
  <si>
    <t>Av. San Martín 1599, Mendoza , Argentina</t>
  </si>
  <si>
    <t>643;3. San Martín;14;SERVICIO TÉCNICO;SERVICIOS;Servicios Profesionales;Av. San Martín 1070 local 4;Av. San Martín 1070 local 4;</t>
  </si>
  <si>
    <t>Argentina;Av. San Martín 1070 local 4</t>
  </si>
  <si>
    <t xml:space="preserve">  Sarmiento 75</t>
  </si>
  <si>
    <t xml:space="preserve"> Sarmiento 75, Mendoza , Argentina</t>
  </si>
  <si>
    <t>644;3. San Martín;14;SERVICIO TÉCNICO;SERVICIOS;Servicios Profesionales;Av. San Martín 1070 local 5;Av. San Martín 1070 local 5;</t>
  </si>
  <si>
    <t>-34,983771;-67,69702;Sarmiento 75, Mendoza , Argentina;Sarmiento, General Alvear, Distrito Ciudad de General Alvear, Mendoza, AR;</t>
  </si>
  <si>
    <t>Argentina;Av. San Martín 1070 local 5</t>
  </si>
  <si>
    <t>Av. Las Heras 161, Mendoza , Argentina</t>
  </si>
  <si>
    <t>976;6. Colón;2;ALL PRINT;SERVICIOS;Servicios Profesionales;Av. Colón 189;Av. Colón 189D local derecha;</t>
  </si>
  <si>
    <t>Argentina;Av. Colón 189</t>
  </si>
  <si>
    <t>1037;6. Colón;10;ESCRIBANÍA MENDOZA;SERVICIOS;Servicios Profesionales;Av. Colón 664;Av. Colón 664;</t>
  </si>
  <si>
    <t>Argentina;Av. Colón 664</t>
  </si>
  <si>
    <t>Av. Las Heras 162, Mendoza , Argentina</t>
  </si>
  <si>
    <t>1385;;;"SERVICIO TECNICO ESPECIALIZADO</t>
  </si>
  <si>
    <t>GALERÍA TOMSA";SERVICIOS;Servicios Profesionales;San Martín 1167 local s52;;</t>
  </si>
  <si>
    <t>Argentina;San Martín 1167 local s52</t>
  </si>
  <si>
    <t>TERRA</t>
  </si>
  <si>
    <t>1396;;;"SHINOBI</t>
  </si>
  <si>
    <t xml:space="preserve">  Sarmiento 78</t>
  </si>
  <si>
    <t>9 de Julio 1080 local izquierda</t>
  </si>
  <si>
    <t>Av. Las Heras 74, Mendoza , Argentina</t>
  </si>
  <si>
    <t xml:space="preserve"> Sarmiento 78, Mendoza , Argentina</t>
  </si>
  <si>
    <t>GALERÍA TOMSA";SERVICIOS;Servicios Profesionales;San Martín 1167 local s108;;</t>
  </si>
  <si>
    <t>-34,983771;-67,69702;Sarmiento 78, Mendoza , Argentina;Sarmiento, General Alvear, Distrito Ciudad de General Alvear, Mendoza, AR;</t>
  </si>
  <si>
    <t>Argentina;San Martín 1167 local s108</t>
  </si>
  <si>
    <t>GRISSINO</t>
  </si>
  <si>
    <t>Av. Las Heras 92</t>
  </si>
  <si>
    <t>1404;;;"46 MOLIS</t>
  </si>
  <si>
    <t>GALERÍA TOMSA";SERVICIOS;Servicios Profesionales;San Martín 1167 local s144;;</t>
  </si>
  <si>
    <t>Argentina;San Martín 1167 local s144</t>
  </si>
  <si>
    <t>Av. Las Heras 92, Mendoza , Argentina</t>
  </si>
  <si>
    <t>1413;;;"TALLER DE GRABADO</t>
  </si>
  <si>
    <t>ITC</t>
  </si>
  <si>
    <t>GALERÍA TOMSA";SERVICIOS;Servicios Profesionales;San Martín 1167 local s37;;</t>
  </si>
  <si>
    <t>Av. Colón 458</t>
  </si>
  <si>
    <t>Argentina;San Martín 1167 local s37</t>
  </si>
  <si>
    <t>Av. Sarmiento 744</t>
  </si>
  <si>
    <t>BERLINA</t>
  </si>
  <si>
    <t>Av. Colón 458, Mendoza , Argentina</t>
  </si>
  <si>
    <t xml:space="preserve">  Sarmiento 111</t>
  </si>
  <si>
    <t>1422;;;"COPIA+COPIA</t>
  </si>
  <si>
    <t xml:space="preserve"> Sarmiento 111, Mendoza , Argentina</t>
  </si>
  <si>
    <t>BOUKID</t>
  </si>
  <si>
    <t>GALERÍA TOMSA";SERVICIOS;Servicios Profesionales;San Martín 1167 local a30;;</t>
  </si>
  <si>
    <t>-34,983771;-67,69702;Sarmiento 111, Mendoza , Argentina;Sarmiento, General Alvear, Distrito Ciudad de General Alvear, Mendoza, AR;</t>
  </si>
  <si>
    <t>Argentina;San Martín 1167 local a30</t>
  </si>
  <si>
    <t>Av. Colón 430</t>
  </si>
  <si>
    <t>Av. Sarmiento 698</t>
  </si>
  <si>
    <t>Av. Colón 430, Mendoza , Argentina</t>
  </si>
  <si>
    <t>1433;;;"TALLER DE CELULARES</t>
  </si>
  <si>
    <t>GALERÍA TOMSA";SERVICIOS;Servicios Profesionales;San Martín 1167 local s74m;;</t>
  </si>
  <si>
    <t>DULCE PALOMA</t>
  </si>
  <si>
    <t>Argentina;San Martín 1167 local s74m</t>
  </si>
  <si>
    <t>Av. Colón 362</t>
  </si>
  <si>
    <t>9 de julio 1658 local izquierda</t>
  </si>
  <si>
    <t>Av. Colón 362, Mendoza , Argentina</t>
  </si>
  <si>
    <t>1469;;;"SERV TECNICO CELULARES</t>
  </si>
  <si>
    <t>GALERÍA CARACOL";SERVICIOS;Servicios Profesionales;San Martín 1245 local 54;;</t>
  </si>
  <si>
    <t>Argentina;San Martín 1245 local 54</t>
  </si>
  <si>
    <t>Godoy Cruz 264</t>
  </si>
  <si>
    <t>1503;;;"SHOP ELECTRONTO</t>
  </si>
  <si>
    <t>Godoy Cruz 264, Mendoza , Argentina</t>
  </si>
  <si>
    <t>GALERÍA CARACOL";SERVICIOS;Servicios Profesionales;San Martín 1245 local 97;;</t>
  </si>
  <si>
    <t>Argentina;San Martín 1245 local 97</t>
  </si>
  <si>
    <t xml:space="preserve">  Sarmiento 219</t>
  </si>
  <si>
    <t>Godoy Cruz 182</t>
  </si>
  <si>
    <t>1574;;;"FIX SERVICIO TECNICO</t>
  </si>
  <si>
    <t xml:space="preserve"> Sarmiento 219, Mendoza , Argentina</t>
  </si>
  <si>
    <t>GALERÍA RUFO";SERVICIOS;Servicios Profesionales;San Martín 1672 local 11;;</t>
  </si>
  <si>
    <t>Godoy Cruz 182, Mendoza , Argentina</t>
  </si>
  <si>
    <t>Argentina;San Martín 1672 local 11</t>
  </si>
  <si>
    <t>-34,983771;-67,69702;Sarmiento 219, Mendoza , Argentina;Sarmiento, General Alvear, Distrito Ciudad de General Alvear, Mendoza, AR;</t>
  </si>
  <si>
    <t>1575;;;"FLANE</t>
  </si>
  <si>
    <t>MICAELA</t>
  </si>
  <si>
    <t>España 1538</t>
  </si>
  <si>
    <t>GALERÍA RUFO";SERVICIOS;Servicios Profesionales;San Martín 1672 local 13;;</t>
  </si>
  <si>
    <t>Argentina;San Martín 1672 local 13</t>
  </si>
  <si>
    <t>España 1538, Mendoza , Argentina</t>
  </si>
  <si>
    <t>1593;;;"ESTUDIO CONTABLE</t>
  </si>
  <si>
    <t>PASAJE SAN MARTÍN";SERVICIOS;Servicios Profesionales;San Martín 1136 local 10;;</t>
  </si>
  <si>
    <t>Argentina;San Martín 1136 local 10</t>
  </si>
  <si>
    <t>1600;;;"CERRAJERIA</t>
  </si>
  <si>
    <t>DUN KEN</t>
  </si>
  <si>
    <t>PASAJE SAN MARTÍN";SERVICIOS;Servicios Profesionales;San Martín 1136 local 19;;</t>
  </si>
  <si>
    <t>Argentina;San Martín 1136 local 19</t>
  </si>
  <si>
    <t>España 1691</t>
  </si>
  <si>
    <t>1608;;;"ALLUB GRAFF</t>
  </si>
  <si>
    <t>España 1691, Mendoza , Argentina</t>
  </si>
  <si>
    <t>PASAJE SAN MARTÍN";SERVICIOS;Servicios Profesionales;San Martín 1136 local 30;;</t>
  </si>
  <si>
    <t xml:space="preserve">  Sarmiento 256</t>
  </si>
  <si>
    <t>Argentina;San Martín 1136 local 30</t>
  </si>
  <si>
    <t>MORENITOS
GALERÍA CARACOL</t>
  </si>
  <si>
    <t xml:space="preserve"> Sarmiento 256, Mendoza , Argentina</t>
  </si>
  <si>
    <t>1664;;;"CONTINUIDAD SEGURIDAD PRIVADA</t>
  </si>
  <si>
    <t>San Martín 1245 local l 42</t>
  </si>
  <si>
    <t>-34,983771;-67,69702;Sarmiento 256, Mendoza , Argentina;Sarmiento, General Alvear, Distrito Ciudad de General Alvear, Mendoza, AR;</t>
  </si>
  <si>
    <t>GALERÍA VÍA DEL SOL";SERVICIOS;Servicios Profesionales;Av. Las Heras 430 local 13;;</t>
  </si>
  <si>
    <t>San Martín 1245 local l 42, Mendoza , Argentina</t>
  </si>
  <si>
    <t>Argentina;Av. Las Heras 430 local 13</t>
  </si>
  <si>
    <t>GIOOO
GALERÍA BAMAC</t>
  </si>
  <si>
    <t>San Martín 1425 local 20</t>
  </si>
  <si>
    <t>San Martín 1425 local 20, Mendoza , Argentina</t>
  </si>
  <si>
    <t>GENO Y GENITO
GALERÍA BAMAC</t>
  </si>
  <si>
    <t>San Martín 1425 local 28</t>
  </si>
  <si>
    <t>San Martín 1425 local 28, Mendoza , Argentina</t>
  </si>
  <si>
    <t>CITY SNEAKERS</t>
  </si>
  <si>
    <t>Indumentaria y calzados</t>
  </si>
  <si>
    <t>NEW CAFÉ JACK</t>
  </si>
  <si>
    <t>Av. San Martín y Necochea</t>
  </si>
  <si>
    <t xml:space="preserve">  Sarmiento 220</t>
  </si>
  <si>
    <t>Av. San Martín y Necochea, Mendoza , Argentina</t>
  </si>
  <si>
    <t xml:space="preserve">  Sarmiento 220 local izquierda</t>
  </si>
  <si>
    <t xml:space="preserve"> Sarmiento 220, Mendoza , Argentina</t>
  </si>
  <si>
    <t>-34,983771;-67,69702;Sarmiento 220, Mendoza , Argentina;Sarmiento, General Alvear, Distrito Ciudad de General Alvear, Mendoza, AR;</t>
  </si>
  <si>
    <t>Av. San Martín 1052</t>
  </si>
  <si>
    <t>Av. San Martín 1052, Mendoza , Argentina</t>
  </si>
  <si>
    <t>EL SAPITO BIKE</t>
  </si>
  <si>
    <t>Indumentaria y elementos para el deporte</t>
  </si>
  <si>
    <t>Juan B. Justo 545</t>
  </si>
  <si>
    <t>Juan B. Justo 545, Mendoza , Argentina</t>
  </si>
  <si>
    <t>ESSENZIA</t>
  </si>
  <si>
    <t xml:space="preserve">  Sarmiento 114</t>
  </si>
  <si>
    <t xml:space="preserve"> Sarmiento 114, Mendoza , Argentina</t>
  </si>
  <si>
    <t>-34,983771;-67,69702;Sarmiento 114, Mendoza , Argentina;Sarmiento, General Alvear, Distrito Ciudad de General Alvear, Mendoza, AR;</t>
  </si>
  <si>
    <t>9 de July 0959</t>
  </si>
  <si>
    <t>9 de Julio 959, Mendoza , Argentina</t>
  </si>
  <si>
    <t>FUTBOLERO</t>
  </si>
  <si>
    <t>9 de July 1111</t>
  </si>
  <si>
    <t>9 de Julio 1111, Mendoza , Argentina</t>
  </si>
  <si>
    <t>Peatonal Sarmiento 107</t>
  </si>
  <si>
    <t xml:space="preserve">  Sarmiento 102</t>
  </si>
  <si>
    <t>Peatonal Sarmiento 107, Mendoza , Argentina</t>
  </si>
  <si>
    <t xml:space="preserve"> Sarmiento 102, Mendoza , Argentina</t>
  </si>
  <si>
    <t>-34,983771;-67,69702;Sarmiento 102, Mendoza , Argentina;Sarmiento, General Alvear, Distrito Ciudad de General Alvear, Mendoza, AR;</t>
  </si>
  <si>
    <t>Peatonal Sarmiento 233</t>
  </si>
  <si>
    <t>Peatonal Sarmiento 233, Mendoza , Argentina</t>
  </si>
  <si>
    <t>Peatonal Sarmiento 234</t>
  </si>
  <si>
    <t>Peatonal Sarmiento 234, Mendoza , Argentina</t>
  </si>
  <si>
    <t>Peatonal Sarmiento 118</t>
  </si>
  <si>
    <t>Peatonal Sarmiento 118, Mendoza , Argentina</t>
  </si>
  <si>
    <t>HAVANNA</t>
  </si>
  <si>
    <t xml:space="preserve">  Sarmiento 68</t>
  </si>
  <si>
    <t xml:space="preserve"> Sarmiento 68, Mendoza , Argentina</t>
  </si>
  <si>
    <t>MOGLIE</t>
  </si>
  <si>
    <t>-34,983771;-67,69702;Sarmiento 68, Mendoza , Argentina;Sarmiento, General Alvear, Distrito Ciudad de General Alvear, Mendoza, AR;</t>
  </si>
  <si>
    <t>Arístides Villanueva 183</t>
  </si>
  <si>
    <t>Arístides Villanueva 183, Mendoza , Argentina</t>
  </si>
  <si>
    <t>CÁMARA ARGENTINA DE LA CONSTRUCCIÓN</t>
  </si>
  <si>
    <t>Av. Colón 272</t>
  </si>
  <si>
    <t>BIANCO &amp; NERO</t>
  </si>
  <si>
    <t>CALZADOS DEMUR</t>
  </si>
  <si>
    <t xml:space="preserve">  Sarmiento 50</t>
  </si>
  <si>
    <t>Arístides Villanueva 627</t>
  </si>
  <si>
    <t xml:space="preserve"> Sarmiento 50, Mendoza , Argentina</t>
  </si>
  <si>
    <t>Arístides Villanueva 627, Mendoza , Argentina</t>
  </si>
  <si>
    <t>-34,983771;-67,69702;Sarmiento 50, Mendoza , Argentina;Sarmiento, General Alvear, Distrito Ciudad de General Alvear, Mendoza, AR;</t>
  </si>
  <si>
    <t>-32,892004;-68,856626;"Arístides Villanueva 627; Mendoza ; Argentina";"Arístides Villanueva; Ciudad de Mendoza; Sección 5ª Residencial Sur; Mendoza; AR";</t>
  </si>
  <si>
    <t xml:space="preserve">  Sarmiento 26 y 30</t>
  </si>
  <si>
    <t xml:space="preserve"> Sarmiento 26 y 30, Mendoza , Argentina</t>
  </si>
  <si>
    <t>-34,983771;-67,69702;Sarmiento 26 y 30, Mendoza , Argentina;Sarmiento, General Alvear, Distrito Ciudad de General Alvear, Mendoza, AR;</t>
  </si>
  <si>
    <t>REGENCY CASINO</t>
  </si>
  <si>
    <t>Av. Sarmiento y 25 de Mayo</t>
  </si>
  <si>
    <t>Av. Sarmiento y 25 de Mayo , Mendoza , Argentina</t>
  </si>
  <si>
    <t>39,78373;-100,445882;Av, Sarmiento y 25 de Mayo , Mendoza , Argentina;US;</t>
  </si>
  <si>
    <t>PIZZAIOLO</t>
  </si>
  <si>
    <t>Av. Sarmiento 631</t>
  </si>
  <si>
    <t>Av. Sarmiento 631, Mendoza , Argentina</t>
  </si>
  <si>
    <t>-34,623322;-68,342578;Av, Sarmiento 631, Mendoza , Argentina;Avenida Sarmiento 631, San Rafael, Distrito Ciudad de San Rafael, Mendoza, AR;</t>
  </si>
  <si>
    <t>TACONES</t>
  </si>
  <si>
    <t>FACUNDO</t>
  </si>
  <si>
    <t>Arístides Villanueva 430</t>
  </si>
  <si>
    <t>Av. Sarmiento 641</t>
  </si>
  <si>
    <t>Arístides Villanueva 430, Mendoza , Argentina</t>
  </si>
  <si>
    <t>Av. Sarmiento 641, Mendoza , Argentina</t>
  </si>
  <si>
    <t>-32,892055;-68,85706;"Arístides Villanueva 430; Mendoza ; Argentina";"Arístides Villanueva 430; Ciudad de Mendoza; Sección 5ª Residencial Sur; Mendoza; AR";</t>
  </si>
  <si>
    <t>-34,623288;-68,342678;Av, Sarmiento 641, Mendoza , Argentina;Avenida Sarmiento 641, San Rafael, Distrito Ciudad de San Rafael, Mendoza, AR;</t>
  </si>
  <si>
    <t>EL BOTELLÓN</t>
  </si>
  <si>
    <t>Av. Sarmiento 687</t>
  </si>
  <si>
    <t>Av. Sarmiento 687 local derecha</t>
  </si>
  <si>
    <t>Av. Sarmiento 687, Mendoza , Argentina</t>
  </si>
  <si>
    <t>-34,623133;-68,343141;Av, Sarmiento 687, Mendoza , Argentina;Avenida Sarmiento 687, San Rafael, Distrito Ciudad de San Rafael, Mendoza, AR;</t>
  </si>
  <si>
    <t>Av. San Martín 1447</t>
  </si>
  <si>
    <t>GIOVANNI´S</t>
  </si>
  <si>
    <t>Av. San Martín 1447, Mendoza , Argentina</t>
  </si>
  <si>
    <t>Av. Sarmiento 695</t>
  </si>
  <si>
    <t>-32,885271;-68,83804;"Av, San Martín 1447; Mendoza ; Argentina";"Avenida San Martín; Ciudad de Mendoza; Sección 3ª Parque O'Higgins; Mendoza; AR";</t>
  </si>
  <si>
    <t>Av. Sarmiento 695, Mendoza , Argentina</t>
  </si>
  <si>
    <t>-34,623106;-68,343222;Av, Sarmiento 695, Mendoza , Argentina;Avenida Sarmiento 695, San Rafael, Distrito Ciudad de San Rafael, Mendoza, AR;</t>
  </si>
  <si>
    <t>AZAFRÁN</t>
  </si>
  <si>
    <t>Av. Sarmiento 765</t>
  </si>
  <si>
    <t>Av. Sarmiento 765, Mendoza , Argentina</t>
  </si>
  <si>
    <t>-34,622775;-68,344217;Av, Sarmiento 765, Mendoza , Argentina;Avenida Sarmiento 765, San Rafael, Distrito Ciudad de San Rafael, Mendoza, AR;</t>
  </si>
  <si>
    <t>-32,885271;-68,83804;"Av, San Martín 1567; Mendoza ; Argentina";"Avenida San Martín; Ciudad de Mendoza; Sección 3ª Parque O'Higgins; Mendoza; AR";</t>
  </si>
  <si>
    <t>LA PIZZA</t>
  </si>
  <si>
    <t>Av. Sarmiento 777</t>
  </si>
  <si>
    <t>Av. Sarmiento 777 local izquierda</t>
  </si>
  <si>
    <t>Av. Sarmiento 777, Mendoza , Argentina</t>
  </si>
  <si>
    <t>-34,622738;-68,344329;Av, Sarmiento 777, Mendoza , Argentina;Avenida Sarmiento 777, San Rafael, Distrito Ciudad de San Rafael, Mendoza, AR;</t>
  </si>
  <si>
    <t>Av. San Martín 1528</t>
  </si>
  <si>
    <t>CABAÑA LA PASIÓN</t>
  </si>
  <si>
    <t>Av. San Martín 1528, Mendoza , Argentina</t>
  </si>
  <si>
    <t>Av. Sarmiento 785</t>
  </si>
  <si>
    <t>-32,886147;-68,838398;"Av, San Martín 1528; Mendoza ; Argentina";"Avenida San Martín 1528; Ciudad de Mendoza; Sección 3ª Parque O'Higgins; Mendoza; AR";</t>
  </si>
  <si>
    <t>Av. Sarmiento 785, Mendoza , Argentina</t>
  </si>
  <si>
    <t>-34,622713;-68,344404;Av, Sarmiento 785, Mendoza , Argentina;Avenida Sarmiento 785, San Rafael, Distrito Ciudad de San Rafael, Mendoza, AR;</t>
  </si>
  <si>
    <t>PERÍN</t>
  </si>
  <si>
    <t>Av. Sarmiento 797</t>
  </si>
  <si>
    <t>Av. Sarmiento 797, Mendoza , Argentina</t>
  </si>
  <si>
    <t>-34,622675;-68,344516;Av, Sarmiento 797, Mendoza , Argentina;Avenida Sarmiento 797, San Rafael, Distrito Ciudad de San Rafael, Mendoza, AR;</t>
  </si>
  <si>
    <t>EL REFUGIO ADVENTURE GEAR</t>
  </si>
  <si>
    <t>Av. San Martín 1526</t>
  </si>
  <si>
    <t>Espejo 285</t>
  </si>
  <si>
    <t>Av. San Martín 1526, Mendoza , Argentina</t>
  </si>
  <si>
    <t>-32,886067;-68,838313;"Av, San Martín 1526; Mendoza ; Argentina";"Avenida San Martín 1526; Ciudad de Mendoza; Sección 3ª Parque O'Higgins; Mendoza; AR";</t>
  </si>
  <si>
    <t>CACHITA´S</t>
  </si>
  <si>
    <t>Av. Sarmiento 786</t>
  </si>
  <si>
    <t>Av. Sarmiento 786 local derecha</t>
  </si>
  <si>
    <t>Av. Sarmiento 786, Mendoza , Argentina</t>
  </si>
  <si>
    <t>-34,622557;-68,344322;Av, Sarmiento 786, Mendoza , Argentina;Avenida Sarmiento 786, San Rafael, Distrito Ciudad de San Rafael, Mendoza, AR;</t>
  </si>
  <si>
    <t>HOTEL GUTELCAS</t>
  </si>
  <si>
    <t>TURISMO</t>
  </si>
  <si>
    <t>Alojamiento</t>
  </si>
  <si>
    <t>Juan B. Justo 67</t>
  </si>
  <si>
    <t>Juan B. Justo 67 local derecha</t>
  </si>
  <si>
    <t>Juan B. Justo 67, Mendoza , Argentina</t>
  </si>
  <si>
    <t>-32,907044;-68,844629;Juan B, Justo 67, Mendoza , Argentina;Juan B, Justo 67, Villa Mercedes, Departamento Godoy Cruz, Mendoza, AR;</t>
  </si>
  <si>
    <t>TOMMASO</t>
  </si>
  <si>
    <t>Av. Sarmiento 762</t>
  </si>
  <si>
    <t>Av. Sarmiento 762, Mendoza , Argentina</t>
  </si>
  <si>
    <t>Av. San Martín 1402</t>
  </si>
  <si>
    <t>-34,622645;-68,344083;Av, Sarmiento 762, Mendoza , Argentina;Avenida Sarmiento 762, San Rafael, Distrito Ciudad de San Rafael, Mendoza, AR;</t>
  </si>
  <si>
    <t>Av. San Martín 1402, Mendoza , Argentina</t>
  </si>
  <si>
    <t>-32,887381;-68,838646;"Av, San Martín 1402; Mendoza ; Argentina";"Avenida San Martín 1402; Ciudad de Mendoza; Sección 3ª Parque O'Higgins; Mendoza; AR";</t>
  </si>
  <si>
    <t>LA FLORENCIA</t>
  </si>
  <si>
    <t>Av. Sarmiento 698, Mendoza , Argentina</t>
  </si>
  <si>
    <t>-34,622966;-68,343195;Av, Sarmiento 698, Mendoza , Argentina;Avenida Sarmiento 698, San Rafael, Distrito Ciudad de San Rafael, Mendoza, AR;</t>
  </si>
  <si>
    <t>HOTEL MARGAR</t>
  </si>
  <si>
    <t>Juan B. Justo 75</t>
  </si>
  <si>
    <t>Juan B. Justo 75, Mendoza , Argentina</t>
  </si>
  <si>
    <t>-32,907034;-68,844726;Juan B, Justo 75, Mendoza , Argentina;Juan B, Justo 75, Villa Mercedes, Departamento Godoy Cruz, Mendoza, AR;</t>
  </si>
  <si>
    <t>JUAN DUCK</t>
  </si>
  <si>
    <t>Av. San Martín 1468</t>
  </si>
  <si>
    <t>Av. Colón 462</t>
  </si>
  <si>
    <t>Av. San Martín 1468, Mendoza , Argentina</t>
  </si>
  <si>
    <t>LA LUCÍA</t>
  </si>
  <si>
    <t>-32,886751;-68,838478;"Av, San Martín 1468; Mendoza ; Argentina";"Avenida San Martín 1468; Ciudad de Mendoza; Sección 3ª Parque O'Higgins; Mendoza; AR";</t>
  </si>
  <si>
    <t>Av. Sarmiento 658</t>
  </si>
  <si>
    <t>Av. Sarmiento 658, Mendoza , Argentina</t>
  </si>
  <si>
    <t>-34,623097;-68,342795;Av, Sarmiento 658, Mendoza , Argentina;Avenida Sarmiento 658, San Rafael, Distrito Ciudad de San Rafael, Mendoza, AR;</t>
  </si>
  <si>
    <t>PARADISE DEPARTAMENTOS</t>
  </si>
  <si>
    <t>Juan B. Justo 125</t>
  </si>
  <si>
    <t>Juan B. Justo 125, Mendoza , Argentina</t>
  </si>
  <si>
    <t>-32,906935;-68,845514;Juan B, Justo 125, Mendoza , Argentina;Juan B, Justo 125, Villa Mercedes, Departamento Godoy Cruz, Mendoza, AR;</t>
  </si>
  <si>
    <t>LA FÁBRICA</t>
  </si>
  <si>
    <t>Arístides Villanueva 115</t>
  </si>
  <si>
    <t>Arístides Villanueva 115, Mendoza , Argentina</t>
  </si>
  <si>
    <t>-32,892748;-68,85221;Arístides Villanueva 115, Mendoza , Argentina;Arístides Villanueva 115, Ciudad de Mendoza, Sección 5ª Residencial Sur, Mendoza, AR;</t>
  </si>
  <si>
    <t>STARBUCKS</t>
  </si>
  <si>
    <t>HOTEL AMERICA</t>
  </si>
  <si>
    <t>Juan B. Justo 812</t>
  </si>
  <si>
    <t>Juan B. Justo 812, Mendoza , Argentina</t>
  </si>
  <si>
    <t>-33,571657;-69,012587;Juan B, Justo 812, Mendoza , Argentina;Juan B, Justo, Tunuyán, Distrito Ciudad de Tunuyán, Mendoza, AR;</t>
  </si>
  <si>
    <t>BIRRA HOUSE</t>
  </si>
  <si>
    <t>Arístides Villanueva 127</t>
  </si>
  <si>
    <t>Arístides Villanueva 127, Mendoza , Argentina</t>
  </si>
  <si>
    <t>-32,892731;-68,8523;Arístides Villanueva 127, Mendoza , Argentina;Arístides Villanueva 127, Ciudad de Mendoza, Sección 5ª Residencial Sur, Mendoza, AR;</t>
  </si>
  <si>
    <t>Av. San Martín 1224</t>
  </si>
  <si>
    <t>Av. San Martín 1224, Mendoza , Argentina</t>
  </si>
  <si>
    <t>-32,889312;-68,839133;"Av, San Martín 1224; Mendoza ; Argentina";"Avenida San Martín 1224; Ciudad de Mendoza; Sección 3ª Parque O'Higgins; Mendoza; AR";</t>
  </si>
  <si>
    <t>BANANA BAR</t>
  </si>
  <si>
    <t>Arístides Villanueva 135</t>
  </si>
  <si>
    <t>Arístides Villanueva 135, Mendoza , Argentina</t>
  </si>
  <si>
    <t>-32,89272;-68,852359;Arístides Villanueva 135, Mendoza , Argentina;Arístides Villanueva 135, Ciudad de Mendoza, Sección 5ª Residencial Sur, Mendoza, AR;</t>
  </si>
  <si>
    <t>TRIUNFO SEGUROS</t>
  </si>
  <si>
    <t>Av. San Martín 1274</t>
  </si>
  <si>
    <t>Av. Colón 756</t>
  </si>
  <si>
    <t>Av. San Martín 1274, Mendoza , Argentina</t>
  </si>
  <si>
    <t>-32,888848;-68,839014;"Av, San Martín 1274; Mendoza ; Argentina";"Avenida San Martín 1274; Ciudad de Mendoza; Sección 3ª Parque O'Higgins; Mendoza; AR";</t>
  </si>
  <si>
    <t>ANTARES</t>
  </si>
  <si>
    <t>Arístides Villanueva 153</t>
  </si>
  <si>
    <t>Arístides Villanueva 153, Mendoza , Argentina</t>
  </si>
  <si>
    <t>-32,892666;-68,852557;Arístides Villanueva 153, Mendoza , Argentina;Arístides Villanueva 153, Ciudad de Mendoza, Sección 5ª Residencial Sur, Mendoza, AR;</t>
  </si>
  <si>
    <t>JOSEFINA</t>
  </si>
  <si>
    <t>Arístides Villanueva 165</t>
  </si>
  <si>
    <t>WOOL STYLE</t>
  </si>
  <si>
    <t>Arístides Villanueva 165, Mendoza , Argentina</t>
  </si>
  <si>
    <t>-32,892679;-68,852583;Arístides Villanueva 165, Mendoza , Argentina;Arístides Villanueva 165, Ciudad de Mendoza, Sección 5ª Residencial Sur, Mendoza, AR;</t>
  </si>
  <si>
    <t>Av. San Martín 928</t>
  </si>
  <si>
    <t>Av. San Martín 928, Mendoza , Argentina</t>
  </si>
  <si>
    <t>SOLTIGUA APART</t>
  </si>
  <si>
    <t>-32,89247;-68,839979;"Av, San Martín 928; Mendoza ; Argentina";"Avenida San Martín 928; Mendoza; Sección 2ª Barrio Cívico; Mendoza; AR";</t>
  </si>
  <si>
    <t>Juan B. Justo 625</t>
  </si>
  <si>
    <t>Juan B. Justo 625, Mendoza , Argentina</t>
  </si>
  <si>
    <t>-33,571657;-69,012587;Juan B, Justo 625, Mendoza , Argentina;Juan B, Justo, Tunuyán, Distrito Ciudad de Tunuyán, Mendoza, AR;</t>
  </si>
  <si>
    <t>CORNELITOS</t>
  </si>
  <si>
    <t>Arístides Villanueva 191</t>
  </si>
  <si>
    <t>Arístides Villanueva 191, Mendoza , Argentina</t>
  </si>
  <si>
    <t>-32,892643;-68,852777;Arístides Villanueva 191, Mendoza , Argentina;Arístides Villanueva 191, Ciudad de Mendoza, Sección 5ª Residencial Sur, Mendoza, AR;</t>
  </si>
  <si>
    <t>HOTEL VALLE AZUL</t>
  </si>
  <si>
    <t>Juan B. Justo 360</t>
  </si>
  <si>
    <t>Juan B. Justo 360, Mendoza , Argentina</t>
  </si>
  <si>
    <t>-32,906773;-68,848506;Juan B, Justo 360, Mendoza , Argentina;Juan B, Justo 360, Villa Mercedes, Departamento Godoy Cruz, Mendoza, AR;</t>
  </si>
  <si>
    <t>BURGUERY</t>
  </si>
  <si>
    <t>Arístides Villanueva 204</t>
  </si>
  <si>
    <t>Arístides Villanueva 204, Mendoza , Argentina</t>
  </si>
  <si>
    <t>-32,892703;-68,853307;Arístides Villanueva 204, Mendoza , Argentina;Arístides Villanueva 204, Ciudad de Mendoza, Sección 5ª Residencial Sur, Mendoza, AR;</t>
  </si>
  <si>
    <t>Av. San Martín 1623</t>
  </si>
  <si>
    <t>Av. San Martín 1623, Mendoza , Argentina</t>
  </si>
  <si>
    <t>HOTEL IDEAL</t>
  </si>
  <si>
    <t>-32,882265;-68,837251;"Av, San Martín 1623; Mendoza ; Argentina";"Avenida San Martín; Ciudad de Mendoza; Sección 1ª Parque Central; Mendoza; AR";</t>
  </si>
  <si>
    <t>Juan B. Justo 270</t>
  </si>
  <si>
    <t>Juan B. Justo 270, Mendoza , Argentina</t>
  </si>
  <si>
    <t>-32,906859;-68,847374;Juan B, Justo 270, Mendoza , Argentina;Juan B, Justo 270, Villa Mercedes, Departamento Godoy Cruz, Mendoza, AR;</t>
  </si>
  <si>
    <t>COCINA POBLANA</t>
  </si>
  <si>
    <t>Arístides Villanueva 217</t>
  </si>
  <si>
    <t>Arístides Villanueva 217, Mendoza , Argentina</t>
  </si>
  <si>
    <t>-32,89252;-68,85332;Arístides Villanueva 217, Mendoza , Argentina;Arístides Villanueva 217, Ciudad de Mendoza, Sección 5ª Residencial Sur, Mendoza, AR;</t>
  </si>
  <si>
    <t>HOTEL EDIAN</t>
  </si>
  <si>
    <t>Juan B. Justo 154</t>
  </si>
  <si>
    <t>Juan B. Justo 154, Mendoza , Argentina</t>
  </si>
  <si>
    <t>-32,907031;-68,845848;Juan B, Justo 154, Mendoza , Argentina;Juan B, Justo 154, Villa Mercedes, Departamento Godoy Cruz, Mendoza, AR;</t>
  </si>
  <si>
    <t>HOTEL EL TORRIÓN</t>
  </si>
  <si>
    <t>Av. San Martín 1665</t>
  </si>
  <si>
    <t>España 1433</t>
  </si>
  <si>
    <t>GINGGER</t>
  </si>
  <si>
    <t>Av. San Martín 1665, Mendoza , Argentina</t>
  </si>
  <si>
    <t>Arístides Villanueva 241</t>
  </si>
  <si>
    <t>-32,882265;-68,837251;"Av, San Martín 1665; Mendoza ; Argentina";"Avenida San Martín; Ciudad de Mendoza; Sección 1ª Parque Central; Mendoza; AR";</t>
  </si>
  <si>
    <t>Arístides Villanueva 241 local derecha</t>
  </si>
  <si>
    <t>Arístides Villanueva 241, Mendoza , Argentina</t>
  </si>
  <si>
    <t>-32,892458;-68,853786;Arístides Villanueva 241, Mendoza , Argentina;Arístides Villanueva 241, Ciudad de Mendoza, Sección 5ª Residencial Sur, Mendoza, AR;</t>
  </si>
  <si>
    <t>SOSAHAUSS</t>
  </si>
  <si>
    <t>Juan B. Justo 56</t>
  </si>
  <si>
    <t>Juan B. Justo 56, Mendoza , Argentina</t>
  </si>
  <si>
    <t>-33,571657;-69,012587;Juan B, Justo 56, Mendoza , Argentina;Juan B, Justo, Tunuyán, Distrito Ciudad de Tunuyán, Mendoza, AR;</t>
  </si>
  <si>
    <t>MIXX TAIL</t>
  </si>
  <si>
    <t>Arístides Villanueva 245</t>
  </si>
  <si>
    <t>Arístides Villanueva 245, Mendoza , Argentina</t>
  </si>
  <si>
    <t>-32,892447;-68,853844;Arístides Villanueva 245, Mendoza , Argentina;Arístides Villanueva 245, Ciudad de Mendoza, Sección 5ª Residencial Sur, Mendoza, AR;</t>
  </si>
  <si>
    <t>HOSTELING</t>
  </si>
  <si>
    <t>Arístides Villanueva 385</t>
  </si>
  <si>
    <t>Arístides Villanueva 385, Mendoza , Argentina</t>
  </si>
  <si>
    <t>-32,891973;-68,856133;Arístides Villanueva 385, Mendoza , Argentina;Arístides Villanueva 385, Ciudad de Mendoza, Sección 5ª Residencial Sur, Mendoza, AR;</t>
  </si>
  <si>
    <t>VELASCO Y ASOCIADOS</t>
  </si>
  <si>
    <t>ZITTO</t>
  </si>
  <si>
    <t>Arístides Villanueva 257</t>
  </si>
  <si>
    <t>Arístides Villanueva 257, Mendoza , Argentina</t>
  </si>
  <si>
    <t>9 de July 0968</t>
  </si>
  <si>
    <t>-32,892416;-68,854019;Arístides Villanueva 257, Mendoza , Argentina;Arístides Villanueva 257, Ciudad de Mendoza, Sección 5ª Residencial Sur, Mendoza, AR;</t>
  </si>
  <si>
    <t>Av. Las Heras 129, Mendoza , Argentina</t>
  </si>
  <si>
    <t>-32,886028;-68,839996;"Av, Las Heras 129; Mendoza ; Argentina";"Avenida Las Heras 129; Ciudad de Mendoza; Sección 1ª Parque Central; Mendoza; AR";</t>
  </si>
  <si>
    <t>HOSTEL</t>
  </si>
  <si>
    <t>Arístides Villanueva 470</t>
  </si>
  <si>
    <t>Arístides Villanueva 470, Mendoza , Argentina</t>
  </si>
  <si>
    <t>-32,891806;-68,858077;Arístides Villanueva 470, Mendoza , Argentina;Arístides Villanueva 470, Ciudad de Mendoza, Sección 5ª Residencial Sur, Mendoza, AR;</t>
  </si>
  <si>
    <t>LE ROT</t>
  </si>
  <si>
    <t>Arístides Villanueva 263</t>
  </si>
  <si>
    <t>Arístides Villanueva 263, Mendoza , Argentina</t>
  </si>
  <si>
    <t>-32,8924;-68,854106;Arístides Villanueva 263, Mendoza , Argentina;Arístides Villanueva 263, Ciudad de Mendoza, Sección 5ª Residencial Sur, Mendoza, AR;</t>
  </si>
  <si>
    <t>HOSTEL MALBEC CENTRAL</t>
  </si>
  <si>
    <t>Av. San Martín 1446</t>
  </si>
  <si>
    <t>Av. San Martín 1446, Mendoza , Argentina</t>
  </si>
  <si>
    <t>-32,88697;-68,838582;Av, San Martín 1446, Mendoza , Argentina;Avenida San Martín 1446, Ciudad de Mendoza, Sección 3ª Parque O'Higgins, Mendoza, AR;</t>
  </si>
  <si>
    <t>ANCORA</t>
  </si>
  <si>
    <t>Av. Las Heras 529</t>
  </si>
  <si>
    <t>9 de July 1125</t>
  </si>
  <si>
    <t>EL TANO</t>
  </si>
  <si>
    <t>Av. Las Heras 529, Mendoza , Argentina</t>
  </si>
  <si>
    <t>Arístides Villanueva 275</t>
  </si>
  <si>
    <t>-32,885196;-68,844661;"Av, Las Heras 529; Mendoza ; Argentina";"Avenida Las Heras; Ciudad de Mendoza; Sección 1ª Parque Central; Mendoza; AR";</t>
  </si>
  <si>
    <t>Arístides Villanueva 275, Mendoza , Argentina</t>
  </si>
  <si>
    <t>-32,892368;-68,85428;Arístides Villanueva 275, Mendoza , Argentina;Arístides Villanueva 275, Ciudad de Mendoza, Sección 5ª Residencial Sur, Mendoza, AR;</t>
  </si>
  <si>
    <t>BUDA HOUS</t>
  </si>
  <si>
    <t>Av. San Martín 2065</t>
  </si>
  <si>
    <t>Av. San Martín 2065, Mendoza , Argentina</t>
  </si>
  <si>
    <t>-32,90432;-68,842935;Av, San Martín 2065, Mendoza , Argentina;Avenida San Martín 2065, General Espejo, Departamento Godoy Cruz, Mendoza, AR;</t>
  </si>
  <si>
    <t>EL PALENQUE</t>
  </si>
  <si>
    <t>Arístides Villanueva 287</t>
  </si>
  <si>
    <t>Arístides Villanueva 287, Mendoza , Argentina</t>
  </si>
  <si>
    <t>-32,892326;-68,854322;Arístides Villanueva 287, Mendoza , Argentina;Arístides Villanueva 287, Ciudad de Mendoza, Sección 5ª Residencial Sur, Mendoza, AR;</t>
  </si>
  <si>
    <t>BLACK SHEEP</t>
  </si>
  <si>
    <t>Av. San Martín 2265</t>
  </si>
  <si>
    <t>Av. San Martín 2265 local derecha</t>
  </si>
  <si>
    <t>Av. San Martín 2265, Mendoza , Argentina</t>
  </si>
  <si>
    <t>-32,876504;-68,835832;Av, San Martín 2265, Mendoza , Argentina;Avenida San Martín 2265, Ciudad de Mendoza, Sección 1ª Parque Central, Mendoza, AR;</t>
  </si>
  <si>
    <t>AL TOQUE</t>
  </si>
  <si>
    <t>Av. Las Heras 575</t>
  </si>
  <si>
    <t>Arístides Villanueva 295 local izquierda</t>
  </si>
  <si>
    <t>Av. Las Heras 575, Mendoza , Argentina</t>
  </si>
  <si>
    <t>GEOVIX</t>
  </si>
  <si>
    <t>-32,892315;-68,854571;Arístides Villanueva 295, Mendoza , Argentina;Arístides Villanueva 295, Ciudad de Mendoza, Sección 5ª Residencial Sur, Mendoza, AR;</t>
  </si>
  <si>
    <t>Av. Las Heras 526</t>
  </si>
  <si>
    <t>-32,884961;-68,845662;"Av, Las Heras 575; Mendoza ; Argentina";"Avenida Las Heras 575; Ciudad de Mendoza; Sección 1ª Parque Central; Mendoza; AR";</t>
  </si>
  <si>
    <t>Av. Las Heras 526, Mendoza , Argentina</t>
  </si>
  <si>
    <t>-32,885184;-68,845009;Av, Las Heras 526, Mendoza , Argentina;Avenida Las Heras 526, Ciudad de Mendoza, Sección 1ª Parque Central, Mendoza, AR;</t>
  </si>
  <si>
    <t>WILIAM BROWN</t>
  </si>
  <si>
    <t>Arístides Villanueva 301</t>
  </si>
  <si>
    <t>MURANO APART HOTEL</t>
  </si>
  <si>
    <t>Arístides Villanueva 301, Mendoza , Argentina</t>
  </si>
  <si>
    <t>Av. Las Heras 558</t>
  </si>
  <si>
    <t>-32,892273;-68,854797;Arístides Villanueva 301, Mendoza , Argentina;Arístides Villanueva 301, Ciudad de Mendoza, Sección 5ª Residencial Sur, Mendoza, AR;</t>
  </si>
  <si>
    <t>Av. Las Heras 558, Mendoza , Argentina</t>
  </si>
  <si>
    <t>-32,885118;-68,845375;Av, Las Heras 558, Mendoza , Argentina;Avenida Las Heras 558, Ciudad de Mendoza, Sección 1ª Parque Central, Mendoza, AR;</t>
  </si>
  <si>
    <t>QUIMERA</t>
  </si>
  <si>
    <t>Av. Las Heras 611</t>
  </si>
  <si>
    <t>DOGXIE</t>
  </si>
  <si>
    <t>Av. Las Heras 611, Mendoza , Argentina</t>
  </si>
  <si>
    <t>Arístides Villanueva 305</t>
  </si>
  <si>
    <t>-32,88486;-68,846171;"Av, Las Heras 611; Mendoza ; Argentina";"Avenida Las Heras 611; Ciudad de Mendoza; Sección 1ª Parque Central; Mendoza; AR";</t>
  </si>
  <si>
    <t>HOTEL RINCÓN VAZCO</t>
  </si>
  <si>
    <t>Arístides Villanueva 305, Mendoza , Argentina</t>
  </si>
  <si>
    <t>Av. Las Heras 590</t>
  </si>
  <si>
    <t>Av. Las Heras 590 local izquierda</t>
  </si>
  <si>
    <t>-32,89226;-68,854868;Arístides Villanueva 305, Mendoza , Argentina;Arístides Villanueva 305, Ciudad de Mendoza, Sección 5ª Residencial Sur, Mendoza, AR;</t>
  </si>
  <si>
    <t>Av. Las Heras 590, Mendoza , Argentina</t>
  </si>
  <si>
    <t>-32,885103;-68,845741;Av, Las Heras 590, Mendoza , Argentina;Avenida Las Heras 590, Ciudad de Mendoza, Sección 1ª Parque Central, Mendoza, AR;</t>
  </si>
  <si>
    <t>TACO TABASCO</t>
  </si>
  <si>
    <t>HOSTAL XUMEC</t>
  </si>
  <si>
    <t>Av. Mitre y Av. Las Heras 1490</t>
  </si>
  <si>
    <t>Arístides Villanueva 321</t>
  </si>
  <si>
    <t>Av. Mitre y Av. Las Heras 1490, Mendoza , Argentina</t>
  </si>
  <si>
    <t>Arístides Villanueva 321, Mendoza , Argentina</t>
  </si>
  <si>
    <t>39,78373;-100,445882;Av, Mitre y Av, Las Heras 1490, Mendoza , Argentina;US;</t>
  </si>
  <si>
    <t>-32,892074;-68,855545;Arístides Villanueva 321, Mendoza , Argentina;Arístides Villanueva 321, Ciudad de Mendoza, Sección 5ª Residencial Sur, Mendoza, AR;</t>
  </si>
  <si>
    <t>NACAR</t>
  </si>
  <si>
    <t>Av. Las Heras 621</t>
  </si>
  <si>
    <t>Av. Las Heras 621, Mendoza , Argentina</t>
  </si>
  <si>
    <t>-32,88483;-68,846308;"Av, Las Heras 621; Mendoza ; Argentina";"Avenida Las Heras 621; Ciudad de Mendoza; Sección 1ª Parque Central; Mendoza; AR";</t>
  </si>
  <si>
    <t>Av. Las Heras 208, Mendoza , Argentina</t>
  </si>
  <si>
    <t>ZAPP</t>
  </si>
  <si>
    <t>-32,885936;-68,841;Av, Las Heras 208, Mendoza , Argentina;Avenida Las Heras 208, Ciudad de Mendoza, Sección 1ª Parque Central, Mendoza, AR;</t>
  </si>
  <si>
    <t>Arístides Villanueva 341</t>
  </si>
  <si>
    <t>Arístides Villanueva 341, Mendoza , Argentina</t>
  </si>
  <si>
    <t>-32,89214;-68,855506;Arístides Villanueva 341, Mendoza , Argentina;Arístides Villanueva 341, Ciudad de Mendoza, Sección 5ª Residencial Sur, Mendoza, AR;</t>
  </si>
  <si>
    <t>HOTEL PALACE</t>
  </si>
  <si>
    <t>PARIS CALZADOS</t>
  </si>
  <si>
    <t>Av. Las Heras 290</t>
  </si>
  <si>
    <t>Av. Las Heras 70 local derecha</t>
  </si>
  <si>
    <t>JEROME</t>
  </si>
  <si>
    <t>-32,886359;-68,838989;Av, Las Heras 70, Mendoza , Argentina;Avenida Las Heras 70, Ciudad de Mendoza, Sección 3ª Parque O'Higgins, Mendoza, AR;</t>
  </si>
  <si>
    <t>Av. Las Heras 290, Mendoza , Argentina</t>
  </si>
  <si>
    <t>Arístides Villanueva 347</t>
  </si>
  <si>
    <t>-32,885768;-68,841896;"Av, Las Heras 290; Mendoza ; Argentina";"Avenida Las Heras 290; Ciudad de Mendoza; Sección 1ª Parque Central; Mendoza; AR";</t>
  </si>
  <si>
    <t>Arístides Villanueva 347, Mendoza , Argentina</t>
  </si>
  <si>
    <t>-32,89212;-68,855612;Arístides Villanueva 347, Mendoza , Argentina;Arístides Villanueva 347, Ciudad de Mendoza, Sección 5ª Residencial Sur, Mendoza, AR;</t>
  </si>
  <si>
    <t>HOTEL IMPERIAL</t>
  </si>
  <si>
    <t>Av. Las Heras 88</t>
  </si>
  <si>
    <t>Av. Las Heras 88, Mendoza , Argentina</t>
  </si>
  <si>
    <t>-32,886272;-68,839444;Av, Las Heras 88, Mendoza , Argentina;Avenida Las Heras 88, Ciudad de Mendoza, Sección 3ª Parque O'Higgins, Mendoza, AR;</t>
  </si>
  <si>
    <t>JOHNNY B. GOOD</t>
  </si>
  <si>
    <t>Arístides Villanueva 373</t>
  </si>
  <si>
    <t>Arístides Villanueva 373, Mendoza , Argentina</t>
  </si>
  <si>
    <t>-32,892033;-68,856073;Arístides Villanueva 373, Mendoza , Argentina;Arístides Villanueva 373, Ciudad de Mendoza, Sección 5ª Residencial Sur, Mendoza, AR;</t>
  </si>
  <si>
    <t>GRUPO BUNO</t>
  </si>
  <si>
    <t>HOTEL PUNTO URBANO</t>
  </si>
  <si>
    <t>Av. Las Heras 54</t>
  </si>
  <si>
    <t>9 de Julio 1126 Dpto 4</t>
  </si>
  <si>
    <t>Godoy Cruz 326</t>
  </si>
  <si>
    <t>Av. Las Heras 54, Mendoza , Argentina</t>
  </si>
  <si>
    <t>Godoy Cruz 326, Mendoza , Argentina</t>
  </si>
  <si>
    <t>-32,592597;-69,343204;"Av, Las Heras 54; Mendoza ; Argentina";"Avenida Las Heras; Uspallata; Distrito Uspallata; Mendoza; AR";</t>
  </si>
  <si>
    <t>-34,979176;-67,688023;Godoy Cruz 326, Mendoza , Argentina;Godoy Cruz, General Alvear, Distrito Ciudad de General Alvear, Mendoza, AR;</t>
  </si>
  <si>
    <t>LE MERVAL</t>
  </si>
  <si>
    <t>Arístides Villanueva 383</t>
  </si>
  <si>
    <t>Arístides Villanueva 383, Mendoza , Argentina</t>
  </si>
  <si>
    <t>-32,892005;-68,856189;Arístides Villanueva 383, Mendoza , Argentina;Arístides Villanueva 383, Ciudad de Mendoza, Sección 5ª Residencial Sur, Mendoza, AR;</t>
  </si>
  <si>
    <t>Godoy Cruz 322</t>
  </si>
  <si>
    <t>Godoy Cruz 322, Mendoza , Argentina</t>
  </si>
  <si>
    <t>-34,979176;-67,688023;Godoy Cruz 322, Mendoza , Argentina;Godoy Cruz, General Alvear, Distrito Ciudad de General Alvear, Mendoza, AR;</t>
  </si>
  <si>
    <t>Arístides Villanueva 387</t>
  </si>
  <si>
    <t>EXTREME BOARDSHOP</t>
  </si>
  <si>
    <t>Arístides Villanueva 387, Mendoza , Argentina</t>
  </si>
  <si>
    <t>Av. Colón 733</t>
  </si>
  <si>
    <t>-32,891947;-68,856235;Arístides Villanueva 387, Mendoza , Argentina;Arístides Villanueva 387, Ciudad de Mendoza, Sección 5ª Residencial Sur, Mendoza, AR;</t>
  </si>
  <si>
    <t>Av. Colón 733, Mendoza , Argentina</t>
  </si>
  <si>
    <t>-32,894025;-68,845681;"Av, Colón 733; Mendoza ; Argentina";"Avenida Colón; Ciudad de Mendoza; Sección 2ª Barrio Cívico; Mendoza; AR";</t>
  </si>
  <si>
    <t>España 1512, Mendoza , Argentina</t>
  </si>
  <si>
    <t>-34,974904;-67,683115;España 1512, Mendoza , Argentina;España, General Alvear, Distrito Ciudad de General Alvear, Mendoza, AR;</t>
  </si>
  <si>
    <t>MI BARRIO</t>
  </si>
  <si>
    <t>Arístides Villanueva 389</t>
  </si>
  <si>
    <t>Arístides Villanueva 389, Mendoza , Argentina</t>
  </si>
  <si>
    <t>-32,891928;-68,85634;Arístides Villanueva 389, Mendoza , Argentina;Arístides Villanueva 389, Ciudad de Mendoza, Sección 5ª Residencial Sur, Mendoza, AR;</t>
  </si>
  <si>
    <t>LENCERÍA 9 DE JULIO</t>
  </si>
  <si>
    <t>Av. Colón 204</t>
  </si>
  <si>
    <t>España 1433, Mendoza , Argentina</t>
  </si>
  <si>
    <t>-34,974904;-67,683115;España 1433, Mendoza , Argentina;España, General Alvear, Distrito Ciudad de General Alvear, Mendoza, AR;</t>
  </si>
  <si>
    <t>Av. Colón 204, Mendoza , Argentina</t>
  </si>
  <si>
    <t>-32,894605;-68,843258;"Av, Colón 204; Mendoza ; Argentina";"Avenida Colón 204; Ciudad de Mendoza; Sección 2ª Barrio Cívico; Mendoza; AR";</t>
  </si>
  <si>
    <t>EL CLUB DE LA MILANESA</t>
  </si>
  <si>
    <t>Arístides Villanueva 405</t>
  </si>
  <si>
    <t>Arístides Villanueva 405, Mendoza , Argentina</t>
  </si>
  <si>
    <t>-32,891919;-68,856732;Arístides Villanueva 405, Mendoza , Argentina;Arístides Villanueva 405, Ciudad de Mendoza, Sección 5ª Residencial Sur, Mendoza, AR;</t>
  </si>
  <si>
    <t>HOTEL CENTRAL</t>
  </si>
  <si>
    <t>Alojamiento Hotel 1 estrella</t>
  </si>
  <si>
    <t>Godoy Cruz 212</t>
  </si>
  <si>
    <t>Godoy Cruz 212, Mendoza , Argentina</t>
  </si>
  <si>
    <t>-34,979176;-67,688023;Godoy Cruz 212, Mendoza , Argentina;Godoy Cruz, General Alvear, Distrito Ciudad de General Alvear, Mendoza, AR;</t>
  </si>
  <si>
    <t>DON QUIJOTE</t>
  </si>
  <si>
    <t>HOTEL SAN REMO</t>
  </si>
  <si>
    <t>Arístides Villanueva 427</t>
  </si>
  <si>
    <t>Espejo 285, Mendoza , Argentina</t>
  </si>
  <si>
    <t>Alojamiento Hotel 2 estrellas</t>
  </si>
  <si>
    <t>Godoy Cruz 477</t>
  </si>
  <si>
    <t>Arístides Villanueva 427, Mendoza , Argentina</t>
  </si>
  <si>
    <t>-32,887937;-68,84806;"Espejo 285; Mendoza ; Argentina";"Espejo; Ciudad de Mendoza; Sección 2ª Barrio Cívico; Mendoza; AR";</t>
  </si>
  <si>
    <t>Godoy Cruz 477, Mendoza , Argentina</t>
  </si>
  <si>
    <t>-32,892004;-68,856626;Arístides Villanueva 427, Mendoza , Argentina;Arístides Villanueva, Ciudad de Mendoza, Sección 5ª Residencial Sur, Mendoza, AR;</t>
  </si>
  <si>
    <t>-34,979176;-67,688023;Godoy Cruz 477, Mendoza , Argentina;Godoy Cruz, General Alvear, Distrito Ciudad de General Alvear, Mendoza, AR;</t>
  </si>
  <si>
    <t>VECCHIA ROMA</t>
  </si>
  <si>
    <t>EL REPASADOR</t>
  </si>
  <si>
    <t>Alojamiento HOTEL 2 estrellas</t>
  </si>
  <si>
    <t>España 1615</t>
  </si>
  <si>
    <t>Arístides Villanueva 439</t>
  </si>
  <si>
    <t>España 1615, Mendoza , Argentina</t>
  </si>
  <si>
    <t>Arístides Villanueva 439, Mendoza , Argentina</t>
  </si>
  <si>
    <t>-34,974904;-67,683115;España 1615, Mendoza , Argentina;España, General Alvear, Distrito Ciudad de General Alvear, Mendoza, AR;</t>
  </si>
  <si>
    <t>-32,892004;-68,856626;Arístides Villanueva 439, Mendoza , Argentina;Arístides Villanueva, Ciudad de Mendoza, Sección 5ª Residencial Sur, Mendoza, AR;</t>
  </si>
  <si>
    <t>Godoy Cruz 29-33-37</t>
  </si>
  <si>
    <t>Godoy Cruz 29-33-37, Mendoza , Argentina</t>
  </si>
  <si>
    <t>-34,979176;-67,688023;"Godoy Cruz 29-33-37; Mendoza ; Argentina";"Godoy Cruz; General Alvear; Distrito Ciudad de General Alvear; Mendoza; AR";</t>
  </si>
  <si>
    <t>HOTEL MARINA REAL</t>
  </si>
  <si>
    <t>Alojamiento Hotel 3 estrellas</t>
  </si>
  <si>
    <t>9 de July 1550</t>
  </si>
  <si>
    <t>PEOPLE</t>
  </si>
  <si>
    <t>Arístides Villanueva 451</t>
  </si>
  <si>
    <t>9 de Julio 1550, Mendoza , Argentina</t>
  </si>
  <si>
    <t>Arístides Villanueva 451, Mendoza , Argentina</t>
  </si>
  <si>
    <t>-34,972739;-67,68561;9 de Julio 1550, Mendoza , Argentina;9 de Julio, General Alvear, Distrito Ciudad de General Alvear, Mendoza, AR;</t>
  </si>
  <si>
    <t>-32,891836;-68,857253;Arístides Villanueva 451, Mendoza , Argentina;Arístides Villanueva 451, Ciudad de Mendoza, Sección 5ª Residencial Sur, Mendoza, AR;</t>
  </si>
  <si>
    <t>-34,974904;-67,683115;"España 1632; Mendoza ; Argentina";"España; General Alvear; Distrito Ciudad de General Alvear; Mendoza; AR";</t>
  </si>
  <si>
    <t>LA ALDEA</t>
  </si>
  <si>
    <t>Arístides Villanueva 495</t>
  </si>
  <si>
    <t>HOTEL CORDÓN DEL PLATA</t>
  </si>
  <si>
    <t>Arístides Villanueva 495, Mendoza , Argentina</t>
  </si>
  <si>
    <t>-32,892004;-68,856626;Arístides Villanueva 495, Mendoza , Argentina;Arístides Villanueva, Ciudad de Mendoza, Sección 5ª Residencial Sur, Mendoza, AR;</t>
  </si>
  <si>
    <t>9 de July 1539</t>
  </si>
  <si>
    <t>9 de julio 1539, Mendoza , Argentina</t>
  </si>
  <si>
    <t>-34,972739;-67,68561;9 de julio 1539, Mendoza , Argentina;9 de Julio, General Alvear, Distrito Ciudad de General Alvear, Mendoza, AR;</t>
  </si>
  <si>
    <t>MUNDO SPORT
GALERÍA TOMSA</t>
  </si>
  <si>
    <t>San Martín 1167 local s124</t>
  </si>
  <si>
    <t>EL MERCADITO</t>
  </si>
  <si>
    <t>San Martín 1167 local s124, Mendoza , Argentina</t>
  </si>
  <si>
    <t>Arístides Villanueva 521</t>
  </si>
  <si>
    <t>39,78373;-100,445882;"San Martín 1167 local s124; Mendoza ; Argentina";US;</t>
  </si>
  <si>
    <t>Arístides Villanueva 521, Mendoza , Argentina</t>
  </si>
  <si>
    <t>GALA APART</t>
  </si>
  <si>
    <t>-32,891644;-68,85823;Arístides Villanueva 521, Mendoza , Argentina;Arístides Villanueva 521, Ciudad de Mendoza, Sección 5ª Residencial Sur, Mendoza, AR;</t>
  </si>
  <si>
    <t>-34,979176;-67,688023;Godoy Cruz 213, Mendoza , Argentina;Godoy Cruz, General Alvear, Distrito Ciudad de General Alvear, Mendoza, AR;</t>
  </si>
  <si>
    <t>AMARNA</t>
  </si>
  <si>
    <t>Arístides Villanueva 557</t>
  </si>
  <si>
    <t>Arístides Villanueva 557, Mendoza , Argentina</t>
  </si>
  <si>
    <t>-32,891612;-68,858536;Arístides Villanueva 557, Mendoza , Argentina;Arístides Villanueva 557, Ciudad de Mendoza, Sección 5ª Residencial Sur, Mendoza, AR;</t>
  </si>
  <si>
    <t>FIT DANCE
GALERÍA KOLTON</t>
  </si>
  <si>
    <t>San Martín 1355 local 20</t>
  </si>
  <si>
    <t>San Martín 1355 local 20, Mendoza , Argentina</t>
  </si>
  <si>
    <t>39,78373;-100,445882;"San Martín 1355 local 20; Mendoza ; Argentina";US;</t>
  </si>
  <si>
    <t>HOTEL SOL ANDINO</t>
  </si>
  <si>
    <t>Godoy Cruz 102</t>
  </si>
  <si>
    <t>ZEZÉ</t>
  </si>
  <si>
    <t>Godoy Cruz 102 local derecha</t>
  </si>
  <si>
    <t>Arístides Villanueva 607</t>
  </si>
  <si>
    <t>Godoy Cruz 102, Mendoza , Argentina</t>
  </si>
  <si>
    <t>Arístides Villanueva 607, Mendoza , Argentina</t>
  </si>
  <si>
    <t>-34,979176;-67,688023;Godoy Cruz 102, Mendoza , Argentina;Godoy Cruz, General Alvear, Distrito Ciudad de General Alvear, Mendoza, AR;</t>
  </si>
  <si>
    <t>-32,892004;-68,856626;Arístides Villanueva 607, Mendoza , Argentina;Arístides Villanueva, Ciudad de Mendoza, Sección 5ª Residencial Sur, Mendoza, AR;</t>
  </si>
  <si>
    <t>PENTAGONO
GALERÍA BAMAC</t>
  </si>
  <si>
    <t>HOTEL MENDOZA</t>
  </si>
  <si>
    <t>San Martín 1425 local 9</t>
  </si>
  <si>
    <t>COOPER</t>
  </si>
  <si>
    <t>España 1210</t>
  </si>
  <si>
    <t>San Martín 1425 local 9, Mendoza , Argentina</t>
  </si>
  <si>
    <t>Arístides Villanueva 633</t>
  </si>
  <si>
    <t>Arístides Villanueva 633 local izquierda</t>
  </si>
  <si>
    <t>España 1210, Mendoza , Argentina</t>
  </si>
  <si>
    <t>39,78373;-100,445882;"San Martín 1425 local 9; Mendoza ; Argentina";US;</t>
  </si>
  <si>
    <t>Arístides Villanueva 633, Mendoza , Argentina</t>
  </si>
  <si>
    <t>-34,974904;-67,683115;España 1210, Mendoza , Argentina;España, General Alvear, Distrito Ciudad de General Alvear, Mendoza, AR;</t>
  </si>
  <si>
    <t>-32,892004;-68,856626;Arístides Villanueva 633, Mendoza , Argentina;Arístides Villanueva, Ciudad de Mendoza, Sección 5ª Residencial Sur, Mendoza, AR;</t>
  </si>
  <si>
    <t>HOTEL INTERNACIONAL</t>
  </si>
  <si>
    <t>Alojamiento Hotel 4 estrellas</t>
  </si>
  <si>
    <t>Av. Sarmiento 720</t>
  </si>
  <si>
    <t>Av. Sarmiento 720, Mendoza , Argentina</t>
  </si>
  <si>
    <t>SABORES DEL PERÚ</t>
  </si>
  <si>
    <t>Arístides Villanueva 721</t>
  </si>
  <si>
    <t>-34,622798;-68,343665;Av, Sarmiento 720, Mendoza , Argentina;Avenida Sarmiento 720, San Rafael, Distrito Ciudad de San Rafael, Mendoza, AR;</t>
  </si>
  <si>
    <t>Arístides Villanueva 721, Mendoza , Argentina</t>
  </si>
  <si>
    <t>Joyería y Relojería</t>
  </si>
  <si>
    <t>Juan B. Justo 476</t>
  </si>
  <si>
    <t>-32,892004;-68,856626;Arístides Villanueva 721, Mendoza , Argentina;Arístides Villanueva, Ciudad de Mendoza, Sección 5ª Residencial Sur, Mendoza, AR;</t>
  </si>
  <si>
    <t>Juan B. Justo 476, Mendoza , Argentina</t>
  </si>
  <si>
    <t>-32,906609;-68,850143;"Juan B, Justo 476; Mendoza ; Argentina";"Juan B, Justo 476; Villa Mercedes; Departamento Godoy Cruz; Mendoza; AR";</t>
  </si>
  <si>
    <t>PREMIUM TOWER SUITES</t>
  </si>
  <si>
    <t>España 948 local medio</t>
  </si>
  <si>
    <t>PICARDO</t>
  </si>
  <si>
    <t>-34,974904;-67,683115;España 948, Mendoza , Argentina;España, General Alvear, Distrito Ciudad de General Alvear, Mendoza, AR;</t>
  </si>
  <si>
    <t>Arístides Villanueva 785</t>
  </si>
  <si>
    <t>Arístides Villanueva 785, Mendoza , Argentina</t>
  </si>
  <si>
    <t>-32,892004;-68,856626;Arístides Villanueva 785, Mendoza , Argentina;Arístides Villanueva, Ciudad de Mendoza, Sección 5ª Residencial Sur, Mendoza, AR;</t>
  </si>
  <si>
    <t>JOYERIA Y RELOJERÍA DI FABIO</t>
  </si>
  <si>
    <t>9 de July 1660</t>
  </si>
  <si>
    <t>NH HOTEL</t>
  </si>
  <si>
    <t>España 1302</t>
  </si>
  <si>
    <t>9 de Julio 1660, Mendoza , Argentina</t>
  </si>
  <si>
    <t>España 1302, Mendoza , Argentina</t>
  </si>
  <si>
    <t>-34,972739;-67,68561;"9 de Julio 1660; Mendoza ; Argentina";"9 de Julio; General Alvear; Distrito Ciudad de General Alvear; Mendoza; AR";</t>
  </si>
  <si>
    <t>UP CAFÉ</t>
  </si>
  <si>
    <t>-34,974904;-67,683115;España 1302, Mendoza , Argentina;España, General Alvear, Distrito Ciudad de General Alvear, Mendoza, AR;</t>
  </si>
  <si>
    <t>Arístides Villanueva 758</t>
  </si>
  <si>
    <t>Arístides Villanueva 758 local derecha</t>
  </si>
  <si>
    <t>Arístides Villanueva 758, Mendoza , Argentina</t>
  </si>
  <si>
    <t>-32,892004;-68,856626;Arístides Villanueva 758, Mendoza , Argentina;Arístides Villanueva, Ciudad de Mendoza, Sección 5ª Residencial Sur, Mendoza, AR;</t>
  </si>
  <si>
    <t>HYATT</t>
  </si>
  <si>
    <t>Alojamiento Hotel 5 estrellas</t>
  </si>
  <si>
    <t>Chile 1144</t>
  </si>
  <si>
    <t>Chile 1144, Mendoza , Argentina</t>
  </si>
  <si>
    <t>-34,61027;-68,343472;Chile 1144, Mendoza , Argentina;Chile 1144, San Rafael, Distrito Ciudad de San Rafael, Mendoza, AR;</t>
  </si>
  <si>
    <t>EL VIEJITO VILLA</t>
  </si>
  <si>
    <t>Arístides Villanueva 668 local derecha</t>
  </si>
  <si>
    <t>-32,892004;-68,856626;Arístides Villanueva 668, Mendoza , Argentina;Arístides Villanueva, Ciudad de Mendoza, Sección 5ª Residencial Sur, Mendoza, AR;</t>
  </si>
  <si>
    <t>9 de July 1117</t>
  </si>
  <si>
    <t>ORVIZ</t>
  </si>
  <si>
    <t>9 de julio 1117, Mendoza , Argentina</t>
  </si>
  <si>
    <t>Servicios de viajes, turismo</t>
  </si>
  <si>
    <t>Juan B. Justo 536</t>
  </si>
  <si>
    <t>-34,972739;-67,68561;"9 de julio 1117; Mendoza ; Argentina";"9 de Julio; General Alvear; Distrito Ciudad de General Alvear; Mendoza; AR";</t>
  </si>
  <si>
    <t>Juan B. Justo 536, Mendoza , Argentina</t>
  </si>
  <si>
    <t>-32,906528;-68,850996;Juan B, Justo 536, Mendoza , Argentina;Juan B, Justo 536, Villa Mercedes, Departamento Godoy Cruz, Mendoza, AR;</t>
  </si>
  <si>
    <t>LA VERDAD DE LA MILANESA</t>
  </si>
  <si>
    <t>Arístides Villanueva 662</t>
  </si>
  <si>
    <t>T Y G</t>
  </si>
  <si>
    <t>9 de Julio 1126 Dpto 25</t>
  </si>
  <si>
    <t>9 de Julio 1126 Dpto 25, Mendoza , Argentina</t>
  </si>
  <si>
    <t>39,78373;-100,445882;9 de Julio 1126 Dpto 25, Mendoza , Argentina;US;</t>
  </si>
  <si>
    <t>9 de julio 1125, Mendoza , Argentina</t>
  </si>
  <si>
    <t>-34,972739;-67,68561;"9 de julio 1125; Mendoza ; Argentina";"9 de Julio; General Alvear; Distrito Ciudad de General Alvear; Mendoza; AR";</t>
  </si>
  <si>
    <t>SERVITUR</t>
  </si>
  <si>
    <t>9 de Julio 1126 Dpto 17</t>
  </si>
  <si>
    <t>9 de Julio 1126 Dpto 17, Mendoza , Argentina</t>
  </si>
  <si>
    <t>39,78373;-100,445882;9 de Julio 1126 Dpto 17, Mendoza , Argentina;US;</t>
  </si>
  <si>
    <t>Arístides Villanueva 662, Mendoza , Argentina</t>
  </si>
  <si>
    <t>-32,892004;-68,856626;Arístides Villanueva 662, Mendoza , Argentina;Arístides Villanueva, Ciudad de Mendoza, Sección 5ª Residencial Sur, Mendoza, AR;</t>
  </si>
  <si>
    <t>9 de July 1143</t>
  </si>
  <si>
    <t>9 de julio 1143, Mendoza , Argentina</t>
  </si>
  <si>
    <t>BRASTUR</t>
  </si>
  <si>
    <t>-34,972739;-67,68561;"9 de julio 1143; Mendoza ; Argentina";"9 de Julio; General Alvear; Distrito Ciudad de General Alvear; Mendoza; AR";</t>
  </si>
  <si>
    <t>9 de Julio 1126 Dpto 6</t>
  </si>
  <si>
    <t>9 de Julio 1126 Dpto 6, Mendoza , Argentina</t>
  </si>
  <si>
    <t>39,78373;-100,445882;9 de Julio 1126 Dpto 6, Mendoza , Argentina;US;</t>
  </si>
  <si>
    <t>SOFÍA CAFÉ</t>
  </si>
  <si>
    <t>CONOCER MENDOZA</t>
  </si>
  <si>
    <t>Arístides Villanueva 650</t>
  </si>
  <si>
    <t>Arístides Villanueva 650, Mendoza , Argentina</t>
  </si>
  <si>
    <t>-32,891455;-68,859847;Arístides Villanueva 650, Mendoza , Argentina;Arístides Villanueva 650, Ciudad de Mendoza, Sección 5ª Residencial Sur, Mendoza, AR;</t>
  </si>
  <si>
    <t>CAMBIO EXPRESS</t>
  </si>
  <si>
    <t>9 de julio 1068, Mendoza , Argentina</t>
  </si>
  <si>
    <t>Espejo 58</t>
  </si>
  <si>
    <t>-34,972739;-67,68561;9 de julio 1068, Mendoza , Argentina;9 de Julio, General Alvear, Distrito Ciudad de General Alvear, Mendoza, AR;</t>
  </si>
  <si>
    <t>-32,887052;-68,838093;"Av, San Martín 1425; Mendoza ; Argentina";"Avenida San Martín 1425; Ciudad de Mendoza; Sección 3ª Parque O'Higgins; Mendoza; AR";</t>
  </si>
  <si>
    <t>LA TERMINAL</t>
  </si>
  <si>
    <t>9 de July 1042</t>
  </si>
  <si>
    <t>9 de Julio 1042, Mendoza , Argentina</t>
  </si>
  <si>
    <t>ÍTAKA</t>
  </si>
  <si>
    <t>Arístides Villanueva 480</t>
  </si>
  <si>
    <t>-34,972739;-67,68561;9 de Julio 1042, Mendoza , Argentina;9 de Julio, General Alvear, Distrito Ciudad de General Alvear, Mendoza, AR;</t>
  </si>
  <si>
    <t>Arístides Villanueva 480, Mendoza , Argentina</t>
  </si>
  <si>
    <t>-32,891789;-68,858188;Arístides Villanueva 480, Mendoza , Argentina;Arístides Villanueva 480, Ciudad de Mendoza, Sección 5ª Residencial Sur, Mendoza, AR;</t>
  </si>
  <si>
    <t>AYR</t>
  </si>
  <si>
    <t>-32,882265;-68,837251;"Av, San Martín 1515; Mendoza ; Argentina";"Avenida San Martín; Ciudad de Mendoza; Sección 1ª Parque Central; Mendoza; AR";</t>
  </si>
  <si>
    <t>LOMITOS 2X1</t>
  </si>
  <si>
    <t>9 de Julio 968, Mendoza , Argentina</t>
  </si>
  <si>
    <t>Arístides Villanueva 386</t>
  </si>
  <si>
    <t>-34,972739;-67,68561;9 de Julio 968, Mendoza , Argentina;9 de Julio, General Alvear, Distrito Ciudad de General Alvear, Mendoza, AR;</t>
  </si>
  <si>
    <t>Arístides Villanueva 386, Mendoza , Argentina</t>
  </si>
  <si>
    <t>-32,892193;-68,856168;Arístides Villanueva 386, Mendoza , Argentina;Arístides Villanueva 386, Ciudad de Mendoza, Sección 5ª Residencial Sur, Mendoza, AR;</t>
  </si>
  <si>
    <t>ALMUNDO.COM</t>
  </si>
  <si>
    <t>LOMHA FAST FOOD</t>
  </si>
  <si>
    <t>Arístides Villanueva 372 local derecha</t>
  </si>
  <si>
    <t>-32,892181;-68,856109;Arístides Villanueva 372, Mendoza , Argentina;Arístides Villanueva 372, Ciudad de Mendoza, Sección 5ª Residencial Sur, Mendoza, AR;</t>
  </si>
  <si>
    <t>Av. San Martín 1509</t>
  </si>
  <si>
    <t>Av. San Martín 1509, Mendoza , Argentina</t>
  </si>
  <si>
    <t>-32,885271;-68,83804;"Av, San Martín 1509; Mendoza ; Argentina";"Avenida San Martín; Ciudad de Mendoza; Sección 3ª Parque O'Higgins; Mendoza; AR";</t>
  </si>
  <si>
    <t>BASILIKA</t>
  </si>
  <si>
    <t>Arístides Villanueva 332</t>
  </si>
  <si>
    <t>Arístides Villanueva 332, Mendoza , Argentina</t>
  </si>
  <si>
    <t>-32,892317;-68,855401;Arístides Villanueva 332, Mendoza , Argentina;Arístides Villanueva 332, Ciudad de Mendoza, Sección 5ª Residencial Sur, Mendoza, AR;</t>
  </si>
  <si>
    <t>Av. San Martín 1696</t>
  </si>
  <si>
    <t>Av. San Martín 1696, Mendoza , Argentina</t>
  </si>
  <si>
    <t>FERRUCCIO SOPPELSA</t>
  </si>
  <si>
    <t>-32,884243;-68,837854;"Av, San Martín 1696; Mendoza ; Argentina";"Avenida San Martín 1696; Ciudad de Mendoza; Sección 3ª Parque O'Higgins; Mendoza; AR";</t>
  </si>
  <si>
    <t>Arístides Villanueva 326</t>
  </si>
  <si>
    <t>Arístides Villanueva 326, Mendoza , Argentina</t>
  </si>
  <si>
    <t>-32,892337;-68,855295;Arístides Villanueva 326, Mendoza , Argentina;Arístides Villanueva 326, Ciudad de Mendoza, Sección 5ª Residencial Sur, Mendoza, AR;</t>
  </si>
  <si>
    <t>D´SASTRE</t>
  </si>
  <si>
    <t>Arístides Villanueva 308</t>
  </si>
  <si>
    <t>Arístides Villanueva 308, Mendoza , Argentina</t>
  </si>
  <si>
    <t>-32,892407;-68,855107;Arístides Villanueva 308, Mendoza , Argentina;Arístides Villanueva 308, Ciudad de Mendoza, Sección 5ª Residencial Sur, Mendoza, AR;</t>
  </si>
  <si>
    <t>Peatonal Sarmiento 223</t>
  </si>
  <si>
    <t>Peatonal Sarmiento 223, Mendoza , Argentina</t>
  </si>
  <si>
    <t>39,78373;-100,445882;Peatonal Sarmiento 223, Mendoza , Argentina;US;</t>
  </si>
  <si>
    <t>MANUEL OTERO</t>
  </si>
  <si>
    <t>Av. San Martín 1180</t>
  </si>
  <si>
    <t>Av. Colón 619</t>
  </si>
  <si>
    <t>Av. San Martín 1180, Mendoza , Argentina</t>
  </si>
  <si>
    <t>-32,889867;-68,83928;"Av, San Martín 1180; Mendoza ; Argentina";"Avenida San Martín 1180; Ciudad de Mendoza; Sección 3ª Parque O'Higgins; Mendoza; AR";</t>
  </si>
  <si>
    <t>BACK PACKERS</t>
  </si>
  <si>
    <t>CARA &amp; CECA</t>
  </si>
  <si>
    <t>Peatonal Sarmiento 231</t>
  </si>
  <si>
    <t>Arístides Villanueva 290</t>
  </si>
  <si>
    <t>Peatonal Sarmiento 231, Mendoza , Argentina</t>
  </si>
  <si>
    <t>Arístides Villanueva 290, Mendoza , Argentina</t>
  </si>
  <si>
    <t>-32,890424;-68,840714;Peatonal Sarmiento 231, Mendoza , Argentina;Sarmiento, Ciudad de Mendoza, Sección 3ª Parque O'Higgins, Mendoza, AR;</t>
  </si>
  <si>
    <t>-32,892472;-68,854538;Arístides Villanueva 290, Mendoza , Argentina;Arístides Villanueva 290, Ciudad de Mendoza, Sección 5ª Residencial Sur, Mendoza, AR;</t>
  </si>
  <si>
    <t>Av. Las Heras 426</t>
  </si>
  <si>
    <t>Av. Las Heras 426, Mendoza , Argentina</t>
  </si>
  <si>
    <t>-32,885409;-68,843769;"Av, Las Heras 426; Mendoza ; Argentina";"Avenida Las Heras 426; Ciudad de Mendoza; Sección 1ª Parque Central; Mendoza; AR";</t>
  </si>
  <si>
    <t>MAYAS VIAJES Y TURISMO</t>
  </si>
  <si>
    <t>JOHN DILINGER</t>
  </si>
  <si>
    <t>Peatonal Sarmiento 290 local derecha</t>
  </si>
  <si>
    <t>Arístides Villanueva 298</t>
  </si>
  <si>
    <t>Arístides Villanueva 298, Mendoza , Argentina</t>
  </si>
  <si>
    <t>-32,892583;-68,854408;Arístides Villanueva 298, Mendoza , Argentina;Arístides Villanueva 298, Ciudad de Mendoza, Sección 5ª Residencial Sur, Mendoza, AR;</t>
  </si>
  <si>
    <t>AEROLINEAS ARGENTINAS</t>
  </si>
  <si>
    <t>Peatonal Sarmiento 74</t>
  </si>
  <si>
    <t>LA HORA DEL VERMUT</t>
  </si>
  <si>
    <t>Peatonal Sarmiento 74 local derecha</t>
  </si>
  <si>
    <t>Peatonal Sarmiento 74, Mendoza , Argentina</t>
  </si>
  <si>
    <t>Arístides Villanueva 282</t>
  </si>
  <si>
    <t>39,78373;-100,445882;Peatonal Sarmiento 74, Mendoza , Argentina;US;</t>
  </si>
  <si>
    <t>Arístides Villanueva 282, Mendoza , Argentina</t>
  </si>
  <si>
    <t>Av. Las Heras 232</t>
  </si>
  <si>
    <t>Av. Las Heras 232, Mendoza , Argentina</t>
  </si>
  <si>
    <t>-32,892625;-68,85417;Arístides Villanueva 282, Mendoza , Argentina;Arístides Villanueva 282, Ciudad de Mendoza, Sección 5ª Residencial Sur, Mendoza, AR;</t>
  </si>
  <si>
    <t>-32,885887;-68,841263;"Av, Las Heras 232; Mendoza ; Argentina";"Avenida Las Heras 232; Ciudad de Mendoza; Sección 1ª Parque Central; Mendoza; AR";</t>
  </si>
  <si>
    <t>AMPORA WINE TOURS</t>
  </si>
  <si>
    <t>Av. Sarmiento 647</t>
  </si>
  <si>
    <t>Av. Sarmiento 647, Mendoza , Argentina</t>
  </si>
  <si>
    <t>-34,623268;-68,342739;Av, Sarmiento 647, Mendoza , Argentina;Avenida Sarmiento 647, San Rafael, Distrito Ciudad de San Rafael, Mendoza, AR;</t>
  </si>
  <si>
    <t>Arístides Villanueva 264</t>
  </si>
  <si>
    <t>Arístides Villanueva 264, Mendoza , Argentina</t>
  </si>
  <si>
    <t>-32,892542;-68,854166;Arístides Villanueva 264, Mendoza , Argentina;Arístides Villanueva 264, Ciudad de Mendoza, Sección 5ª Residencial Sur, Mendoza, AR;</t>
  </si>
  <si>
    <t>LONDON SASTRERÍA</t>
  </si>
  <si>
    <t>H Y T</t>
  </si>
  <si>
    <t>Av. Sarmiento 675</t>
  </si>
  <si>
    <t>Av. Sarmiento 675, Mendoza , Argentina</t>
  </si>
  <si>
    <t>-34,623174;-68,34302;Av, Sarmiento 675, Mendoza , Argentina;Avenida Sarmiento 675, San Rafael, Distrito Ciudad de San Rafael, Mendoza, AR;</t>
  </si>
  <si>
    <t>DON ALDO</t>
  </si>
  <si>
    <t>-32,885821;-68,841612;"Av, Las Heras 264; Mendoza ; Argentina";"Avenida Las Heras 264; Ciudad de Mendoza; Sección 1ª Parque Central; Mendoza; AR";</t>
  </si>
  <si>
    <t>Arístides Villanueva 234</t>
  </si>
  <si>
    <t>Arístides Villanueva 234, Mendoza , Argentina</t>
  </si>
  <si>
    <t>-32,892622;-68,853737;Arístides Villanueva 234, Mendoza , Argentina;Arístides Villanueva 234, Ciudad de Mendoza, Sección 5ª Residencial Sur, Mendoza, AR;</t>
  </si>
  <si>
    <t>LÍMITE VERTICAL</t>
  </si>
  <si>
    <t>Av. Sarmiento 675 local izquierda</t>
  </si>
  <si>
    <t>LA TABLA</t>
  </si>
  <si>
    <t>Arístides Villanueva 224</t>
  </si>
  <si>
    <t>Arístides Villanueva 224 local derecha</t>
  </si>
  <si>
    <t>Arístides Villanueva 224, Mendoza , Argentina</t>
  </si>
  <si>
    <t>-32,892649;-68,853594;Arístides Villanueva 224, Mendoza , Argentina;Arístides Villanueva 224, Ciudad de Mendoza, Sección 5ª Residencial Sur, Mendoza, AR;</t>
  </si>
  <si>
    <t>MIS PASITOS</t>
  </si>
  <si>
    <t>Av. Las Heras 295</t>
  </si>
  <si>
    <t>Av. Las Heras 295, Mendoza , Argentina</t>
  </si>
  <si>
    <t>Av. Sarmiento 784</t>
  </si>
  <si>
    <t>-32,885662;-68,841929;"Av, Las Heras 295; Mendoza ; Argentina";"Avenida Las Heras 295; Ciudad de Mendoza; Sección 1ª Parque Central; Mendoza; AR";</t>
  </si>
  <si>
    <t>Av. Sarmiento 784, Mendoza , Argentina</t>
  </si>
  <si>
    <t>-34,622565;-68,344302;Av, Sarmiento 784, Mendoza , Argentina;Avenida Sarmiento 784, San Rafael, Distrito Ciudad de San Rafael, Mendoza, AR;</t>
  </si>
  <si>
    <t>SUSHI SHOP</t>
  </si>
  <si>
    <t>Arístides Villanueva 176</t>
  </si>
  <si>
    <t>Arístides Villanueva 176, Mendoza , Argentina</t>
  </si>
  <si>
    <t>-32,892798;-68,852687;Arístides Villanueva 176, Mendoza , Argentina;Arístides Villanueva 176, Ciudad de Mendoza, Sección 5ª Residencial Sur, Mendoza, AR;</t>
  </si>
  <si>
    <t>WANKA TURISMO</t>
  </si>
  <si>
    <t>GALPÓN CERVECERO</t>
  </si>
  <si>
    <t>Av. San Martín 1070 local 2</t>
  </si>
  <si>
    <t>Arístides Villanueva 168</t>
  </si>
  <si>
    <t>Av. San Martín 1070 local 2, Mendoza , Argentina</t>
  </si>
  <si>
    <t>Arístides Villanueva 168, Mendoza , Argentina</t>
  </si>
  <si>
    <t>Av. Las Heras 196</t>
  </si>
  <si>
    <t>-32,892818;-68,852568;Arístides Villanueva 168, Mendoza , Argentina;Arístides Villanueva 168, Ciudad de Mendoza, Sección 5ª Residencial Sur, Mendoza, AR;</t>
  </si>
  <si>
    <t>39,78373;-100,445882;Av, San Martín 1070 local 2, Mendoza , Argentina;US;</t>
  </si>
  <si>
    <t>Av. Las Heras 196, Mendoza , Argentina</t>
  </si>
  <si>
    <t>-32,88598;-68,840742;"Av, Las Heras 196; Mendoza ; Argentina";"Avenida Las Heras 196; Ciudad de Mendoza; Sección 1ª Parque Central; Mendoza; AR";</t>
  </si>
  <si>
    <t>Arístides Villanueva 142</t>
  </si>
  <si>
    <t>Arístides Villanueva 142, Mendoza , Argentina</t>
  </si>
  <si>
    <t>HUENTATA</t>
  </si>
  <si>
    <t>-32,892847;-68,852427;Arístides Villanueva 142, Mendoza , Argentina;Arístides Villanueva 142, Ciudad de Mendoza, Sección 5ª Residencial Sur, Mendoza, AR;</t>
  </si>
  <si>
    <t>Av. Las Heras 529 local izquierda</t>
  </si>
  <si>
    <t>-32,885196;-68,844661;Av, Las Heras 529, Mendoza , Argentina;Avenida Las Heras, Ciudad de Mendoza, Sección 1ª Parque Central, Mendoza, AR;</t>
  </si>
  <si>
    <t>VITTORIO</t>
  </si>
  <si>
    <t>Godoy Cruz 26</t>
  </si>
  <si>
    <t>Godoy Cruz 26, Mendoza , Argentina</t>
  </si>
  <si>
    <t>Av. San Martín 977</t>
  </si>
  <si>
    <t>Av. San Martín 977, Mendoza , Argentina</t>
  </si>
  <si>
    <t>-34,979176;-67,688023;"Godoy Cruz 26; Mendoza ; Argentina";"Godoy Cruz; General Alvear; Distrito Ciudad de General Alvear; Mendoza; AR";</t>
  </si>
  <si>
    <t>-32,892067;-68,839736;Av, San Martín 977, Mendoza , Argentina;Avenida San Martín 977, Mendoza, Sección 2ª Barrio Cívico, Mendoza, AR;</t>
  </si>
  <si>
    <t>Av. Las Heras 565</t>
  </si>
  <si>
    <t>Av. Las Heras 565, Mendoza , Argentina</t>
  </si>
  <si>
    <t>-32,885196;-68,844661;Av, Las Heras 565, Mendoza , Argentina;Avenida Las Heras, Ciudad de Mendoza, Sección 1ª Parque Central, Mendoza, AR;</t>
  </si>
  <si>
    <t>SAN PABLO</t>
  </si>
  <si>
    <t>STHEFANO
GALERÍA TOMSA</t>
  </si>
  <si>
    <t>Av. San Martín 1213 local izquierda</t>
  </si>
  <si>
    <t>San Martín 1167 local 3</t>
  </si>
  <si>
    <t>San Martín 1167 local 3, Mendoza , Argentina</t>
  </si>
  <si>
    <t>-32,911693;-68,844774;Av, San Martín 1213, Mendoza , Argentina;Avenida San Martín 1213, General Espejo, Departamento Godoy Cruz, Mendoza, AR;</t>
  </si>
  <si>
    <t>39,78373;-100,445882;"San Martín 1167 local 3; Mendoza ; Argentina";US;</t>
  </si>
  <si>
    <t>D Y D TURISMO</t>
  </si>
  <si>
    <t>Av. Las Heras 595</t>
  </si>
  <si>
    <t>Av. Las Heras 595, Mendoza , Argentina</t>
  </si>
  <si>
    <t>-32,885196;-68,844661;Av, Las Heras 595, Mendoza , Argentina;Avenida Las Heras, Ciudad de Mendoza, Sección 1ª Parque Central, Mendoza, AR;</t>
  </si>
  <si>
    <t>Av. San Martín 1177</t>
  </si>
  <si>
    <t>Av. San Martín 1177, Mendoza , Argentina</t>
  </si>
  <si>
    <t>-32,889735;-68,839118;Av, San Martín 1177, Mendoza , Argentina;Avenida San Martín 1177, Ciudad de Mendoza, Sección 3ª Parque O'Higgins, Mendoza, AR;</t>
  </si>
  <si>
    <t>OESTE JOYAS
GALERÍA TOMSA</t>
  </si>
  <si>
    <t>San Martín 1067 local 6</t>
  </si>
  <si>
    <t>MERVAL</t>
  </si>
  <si>
    <t>San Martín 1067 local 6, Mendoza , Argentina</t>
  </si>
  <si>
    <t>Av. Las Heras 599</t>
  </si>
  <si>
    <t>Av. Las Heras 599, Mendoza , Argentina</t>
  </si>
  <si>
    <t>39,78373;-100,445882;"San Martín 1067 local 6; Mendoza ; Argentina";US;</t>
  </si>
  <si>
    <t>-32,885196;-68,844661;Av, Las Heras 599, Mendoza , Argentina;Avenida Las Heras, Ciudad de Mendoza, Sección 1ª Parque Central, Mendoza, AR;</t>
  </si>
  <si>
    <t>Av. San Martín 1175</t>
  </si>
  <si>
    <t>Av. San Martín 1175, Mendoza , Argentina</t>
  </si>
  <si>
    <t>-32,889821;-68,839136;Av, San Martín 1175, Mendoza , Argentina;Avenida San Martín 1175, Ciudad de Mendoza, Sección 3ª Parque O'Higgins, Mendoza, AR;</t>
  </si>
  <si>
    <t>CATA INTERNACIONAL</t>
  </si>
  <si>
    <t>Av. Las Heras 601</t>
  </si>
  <si>
    <t>Av. Las Heras 601, Mendoza , Argentina</t>
  </si>
  <si>
    <t>-32,885196;-68,844661;Av, Las Heras 601, Mendoza , Argentina;Avenida Las Heras, Ciudad de Mendoza, Sección 1ª Parque Central, Mendoza, AR;</t>
  </si>
  <si>
    <t>JOYAS AMBAR
GALERÍA TOMSA</t>
  </si>
  <si>
    <t>San Martín 1167 local s42</t>
  </si>
  <si>
    <t>San Martín 1167 local s42, Mendoza , Argentina</t>
  </si>
  <si>
    <t>BURGER KING</t>
  </si>
  <si>
    <t>39,78373;-100,445882;"San Martín 1167 local s42; Mendoza ; Argentina";US;</t>
  </si>
  <si>
    <t>Av. San Martín 1371</t>
  </si>
  <si>
    <t>Av. San Martín 1371, Mendoza , Argentina</t>
  </si>
  <si>
    <t>-32,864375;-68,832452;Av, San Martín 1371, Mendoza , Argentina;Avenida San Martín, Ciudad de Mendoza, Sección 4ª Oeste y Área Fundacional, Mendoza, AR;</t>
  </si>
  <si>
    <t>PUNTO</t>
  </si>
  <si>
    <t>Av. Las Heras 699 local der.;der.</t>
  </si>
  <si>
    <t>-32,885196;-68,844661;Av, Las Heras 699, Mendoza , Argentina;Avenida Las Heras, Ciudad de Mendoza, Sección 1ª Parque Central, Mendoza, AR;</t>
  </si>
  <si>
    <t>Av. San Martín 1485</t>
  </si>
  <si>
    <t>Av. San Martín 1485, Mendoza , Argentina</t>
  </si>
  <si>
    <t>-32,885271;-68,83804;Av, San Martín 1485, Mendoza , Argentina;Avenida San Martín, Ciudad de Mendoza, Sección 3ª Parque O'Higgins, Mendoza, AR;</t>
  </si>
  <si>
    <t>JOYERÍA CUTRI
GALERÍA TOMSA</t>
  </si>
  <si>
    <t>San Martín 1167 local s60</t>
  </si>
  <si>
    <t>San Martín 1167 local s60, Mendoza , Argentina</t>
  </si>
  <si>
    <t>39,78373;-100,445882;"San Martín 1167 local s60; Mendoza ; Argentina";US;</t>
  </si>
  <si>
    <t>CEO</t>
  </si>
  <si>
    <t>Av. Las Heras 554</t>
  </si>
  <si>
    <t>MR. DOG</t>
  </si>
  <si>
    <t>Av. Las Heras 554, Mendoza , Argentina</t>
  </si>
  <si>
    <t>Godoy Cruz 12</t>
  </si>
  <si>
    <t>-32,592597;-69,343204;Av, Las Heras 554, Mendoza , Argentina;Avenida Las Heras, Uspallata, Distrito Uspallata, Mendoza, AR;</t>
  </si>
  <si>
    <t>Godoy Cruz 12, Mendoza , Argentina</t>
  </si>
  <si>
    <t>-34,979176;-67,688023;Godoy Cruz 12, Mendoza , Argentina;Godoy Cruz, General Alvear, Distrito Ciudad de General Alvear, Mendoza, AR;</t>
  </si>
  <si>
    <t>CASA CUTRI
GALERÍA TOMSA</t>
  </si>
  <si>
    <t>LA REINESSE</t>
  </si>
  <si>
    <t>San Martín 1167 local s68</t>
  </si>
  <si>
    <t>San Martín 1167 local s68, Mendoza , Argentina</t>
  </si>
  <si>
    <t>Av. San Martín 1500</t>
  </si>
  <si>
    <t>39,78373;-100,445882;"San Martín 1167 local s68; Mendoza ; Argentina";US;</t>
  </si>
  <si>
    <t>Av. San Martín 1500, Mendoza , Argentina</t>
  </si>
  <si>
    <t>-32,886445;-68,838397;Av, San Martín 1500, Mendoza , Argentina;Avenida San Martín 1500, Ciudad de Mendoza, Sección 3ª Parque O'Higgins, Mendoza, AR;</t>
  </si>
  <si>
    <t>TURISMO LUJÁN</t>
  </si>
  <si>
    <t>Av. Las Heras 570</t>
  </si>
  <si>
    <t>Av. Las Heras 570, Mendoza , Argentina</t>
  </si>
  <si>
    <t>-32,885093;-68,845512;Av, Las Heras 570, Mendoza , Argentina;Avenida Las Heras 570, Ciudad de Mendoza, Sección 1ª Parque Central, Mendoza, AR;</t>
  </si>
  <si>
    <t>San Martín 1167 local s72</t>
  </si>
  <si>
    <t>RANNOS</t>
  </si>
  <si>
    <t>San Martín 1167 local s72, Mendoza , Argentina</t>
  </si>
  <si>
    <t>Av. San Martín 1404</t>
  </si>
  <si>
    <t>39,78373;-100,445882;"San Martín 1167 local s72; Mendoza ; Argentina";US;</t>
  </si>
  <si>
    <t>Av. San Martín 1404, Mendoza , Argentina</t>
  </si>
  <si>
    <t>-32,887362;-68,838641;Av, San Martín 1404, Mendoza , Argentina;Avenida San Martín 1404, Ciudad de Mendoza, Sección 3ª Parque O'Higgins, Mendoza, AR;</t>
  </si>
  <si>
    <t>Av. Las Heras 578</t>
  </si>
  <si>
    <t>Av. Las Heras 578, Mendoza , Argentina</t>
  </si>
  <si>
    <t>-32,885076;-68,845603;Av, Las Heras 578, Mendoza , Argentina;Avenida Las Heras 578, Ciudad de Mendoza, Sección 1ª Parque Central, Mendoza, AR;</t>
  </si>
  <si>
    <t>MASALLES
GALERÍA TOMSA</t>
  </si>
  <si>
    <t>San Martín 1167 local s84</t>
  </si>
  <si>
    <t>SETTER</t>
  </si>
  <si>
    <t>San Martín 1167 local s84, Mendoza , Argentina</t>
  </si>
  <si>
    <t>39,78373;-100,445882;"San Martín 1167 local s84; Mendoza ; Argentina";US;</t>
  </si>
  <si>
    <t>Av. San Martín 1184</t>
  </si>
  <si>
    <t>GRAVI TOURS</t>
  </si>
  <si>
    <t>Av. San Martín 1184, Mendoza , Argentina</t>
  </si>
  <si>
    <t>Av. Las Heras 420</t>
  </si>
  <si>
    <t>-32,889829;-68,83927;Av, San Martín 1184, Mendoza , Argentina;Avenida San Martín 1184, Ciudad de Mendoza, Sección 3ª Parque O'Higgins, Mendoza, AR;</t>
  </si>
  <si>
    <t>Av. Las Heras 420, Mendoza , Argentina</t>
  </si>
  <si>
    <t>-32,885622;-68,843956;Av, Las Heras 420, Mendoza , Argentina;Avenida Las Heras 420, Ciudad de Mendoza, Sección 1ª Parque Central, Mendoza, AR;</t>
  </si>
  <si>
    <t>LIVERPOOL</t>
  </si>
  <si>
    <t>ANDESMAR TURISMO</t>
  </si>
  <si>
    <t>Av. San Martín 1002</t>
  </si>
  <si>
    <t>Av. Las Heras 488</t>
  </si>
  <si>
    <t>Av. San Martín 1002, Mendoza , Argentina</t>
  </si>
  <si>
    <t>Av. Las Heras 488 local derecha</t>
  </si>
  <si>
    <t>JOYERÍA MARZAL
GALERÍA TOMSA</t>
  </si>
  <si>
    <t>-32,891707;-68,83979;Av, San Martín 1002, Mendoza , Argentina;Avenida San Martín 1002, Ciudad de Mendoza, Sección 3ª Parque O'Higgins, Mendoza, AR;</t>
  </si>
  <si>
    <t>Av. Las Heras 488, Mendoza , Argentina</t>
  </si>
  <si>
    <t>San Martín 1167 local s112</t>
  </si>
  <si>
    <t>-32,885281;-68,844484;Av, Las Heras 488, Mendoza , Argentina;Avenida Las Heras 488, Ciudad de Mendoza, Sección 1ª Parque Central, Mendoza, AR;</t>
  </si>
  <si>
    <t>San Martín 1167 local s112, Mendoza , Argentina</t>
  </si>
  <si>
    <t>39,78373;-100,445882;"San Martín 1167 local s112; Mendoza ; Argentina";US;</t>
  </si>
  <si>
    <t>FLASH POINT</t>
  </si>
  <si>
    <t>Av. San Martín 1020</t>
  </si>
  <si>
    <t>VERTIENTE VIAJES Y TURISMO</t>
  </si>
  <si>
    <t>Av. San Martín 1020, Mendoza , Argentina</t>
  </si>
  <si>
    <t>-32,891531;-68,839743;Av, San Martín 1020, Mendoza , Argentina;Avenida San Martín 1020, Ciudad de Mendoza, Sección 3ª Parque O'Higgins, Mendoza, AR;</t>
  </si>
  <si>
    <t>BATTAGLIA
GALERÍA TOMSA</t>
  </si>
  <si>
    <t>-32,894025;-68,845681;Av, Colón 356, Mendoza , Argentina;Avenida Colón, Ciudad de Mendoza, Sección 2ª Barrio Cívico, Mendoza, AR;</t>
  </si>
  <si>
    <t>San Martín 1167 local s120</t>
  </si>
  <si>
    <t>San Martín 1167 local s120, Mendoza , Argentina</t>
  </si>
  <si>
    <t>39,78373;-100,445882;"San Martín 1167 local s120; Mendoza ; Argentina";US;</t>
  </si>
  <si>
    <t>DE ZERO</t>
  </si>
  <si>
    <t>Av. San Martín 1070</t>
  </si>
  <si>
    <t>Av. San Martín 1070, Mendoza , Argentina</t>
  </si>
  <si>
    <t>-32,891043;-68,839612;Av, San Martín 1070, Mendoza , Argentina;Avenida San Martín 1070, Ciudad de Mendoza, Sección 3ª Parque O'Higgins, Mendoza, AR;</t>
  </si>
  <si>
    <t>ARUBA VIAJES</t>
  </si>
  <si>
    <t>Espejo 155</t>
  </si>
  <si>
    <t>Espejo 155, Mendoza , Argentina</t>
  </si>
  <si>
    <t>-32,888641;-68,844186;Espejo 155, Mendoza , Argentina;Espejo, Ciudad de Mendoza, Sección 2ª Barrio Cívico, Mendoza, AR;</t>
  </si>
  <si>
    <t>TALLER DE JOYERÍA
GALERÍA TOMSA</t>
  </si>
  <si>
    <t>San Martín 1167 local s128</t>
  </si>
  <si>
    <t>San Martín 1167 local s128, Mendoza , Argentina</t>
  </si>
  <si>
    <t>39,78373;-100,445882;"San Martín 1167 local s128; Mendoza ; Argentina";US;</t>
  </si>
  <si>
    <t>IL PANINO</t>
  </si>
  <si>
    <t>Av. San Martín 906</t>
  </si>
  <si>
    <t>Av. San Martín 906, Mendoza , Argentina</t>
  </si>
  <si>
    <t>-32,892658;-68,840028;Av, San Martín 906, Mendoza , Argentina;Avenida San Martín 906, Mendoza, Sección 2ª Barrio Cívico, Mendoza, AR;</t>
  </si>
  <si>
    <t>Espejo 179, Mendoza , Argentina</t>
  </si>
  <si>
    <t>-32,888641;-68,844186;Espejo 179, Mendoza , Argentina;Espejo, Ciudad de Mendoza, Sección 2ª Barrio Cívico, Mendoza, AR;</t>
  </si>
  <si>
    <t>ARTE
GALERÍA TOMSA</t>
  </si>
  <si>
    <t>San Martín 1167 local s53</t>
  </si>
  <si>
    <t>BOWLING</t>
  </si>
  <si>
    <t>San Martín 1167 local s53, Mendoza , Argentina</t>
  </si>
  <si>
    <t>Av. San Martín 950 local izq.; izq.</t>
  </si>
  <si>
    <t>39,78373;-100,445882;"San Martín 1167 local s53; Mendoza ; Argentina";US;</t>
  </si>
  <si>
    <t>-32,892291;-68,839991;Av, San Martín 950, Mendoza , Argentina;Avenida San Martín 950, Mendoza, Sección 2ª Barrio Cívico, Mendoza, AR;</t>
  </si>
  <si>
    <t>Espejo 189, Mendoza , Argentina</t>
  </si>
  <si>
    <t>-32,887937;-68,84806;Espejo 189, Mendoza , Argentina;Espejo, Ciudad de Mendoza, Sección 2ª Barrio Cívico, Mendoza, AR;</t>
  </si>
  <si>
    <t>LAKSHMI</t>
  </si>
  <si>
    <t>Av. San Martín 1671</t>
  </si>
  <si>
    <t>Av. San Martín 1671, Mendoza , Argentina</t>
  </si>
  <si>
    <t>TALLER DE JOYAS
GALERÍA TOMSA</t>
  </si>
  <si>
    <t>-32,885271;-68,83804;Av, San Martín 1671, Mendoza , Argentina;Avenida San Martín, Ciudad de Mendoza, Sección 3ª Parque O'Higgins, Mendoza, AR;</t>
  </si>
  <si>
    <t>San Martín 1167 local s35</t>
  </si>
  <si>
    <t>San Martín 1167 local s35, Mendoza , Argentina</t>
  </si>
  <si>
    <t>39,78373;-100,445882;"San Martín 1167 local s35; Mendoza ; Argentina";US;</t>
  </si>
  <si>
    <t>PALMARENA</t>
  </si>
  <si>
    <t>Espejo 295</t>
  </si>
  <si>
    <t>Espejo 295, Mendoza , Argentina</t>
  </si>
  <si>
    <t>-32,888641;-68,844186;Espejo 295, Mendoza , Argentina;Espejo, Ciudad de Mendoza, Sección 2ª Barrio Cívico, Mendoza, AR;</t>
  </si>
  <si>
    <t>HO! MADRID</t>
  </si>
  <si>
    <t>Av. San Martín 1805</t>
  </si>
  <si>
    <t>Av. San Martín 1805, Mendoza , Argentina</t>
  </si>
  <si>
    <t>-32,885271;-68,83804;Av, San Martín 1805, Mendoza , Argentina;Avenida San Martín, Ciudad de Mendoza, Sección 3ª Parque O'Higgins, Mendoza, AR;</t>
  </si>
  <si>
    <t>DI LORENZO RELOJERÍA
GALERÍA TOMSA</t>
  </si>
  <si>
    <t>San Martín 1167 local s70m</t>
  </si>
  <si>
    <t>San Martín 1167 local s70m, Mendoza , Argentina</t>
  </si>
  <si>
    <t>39,78373;-100,445882;"San Martín 1167 local s70m; Mendoza ; Argentina";US;</t>
  </si>
  <si>
    <t>TURISMO EL CRISTO</t>
  </si>
  <si>
    <t>Espejo 228</t>
  </si>
  <si>
    <t>Espejo 228, Mendoza , Argentina</t>
  </si>
  <si>
    <t>-32,889079;-68,842059;Espejo 228, Mendoza , Argentina;Espejo 228, Ciudad de Mendoza, Sección 2ª Barrio Cívico, Mendoza, AR;</t>
  </si>
  <si>
    <t>Av. San Martín 1817</t>
  </si>
  <si>
    <t>Av. San Martín 1817, Mendoza , Argentina</t>
  </si>
  <si>
    <t>-32,885271;-68,83804;Av, San Martín 1817, Mendoza , Argentina;Avenida San Martín, Ciudad de Mendoza, Sección 3ª Parque O'Higgins, Mendoza, AR;</t>
  </si>
  <si>
    <t>HUGO ROSSO
GALERÍA CARACOL</t>
  </si>
  <si>
    <t>San Martín 1245 local 43</t>
  </si>
  <si>
    <t>San Martín 1245 local 43, Mendoza , Argentina</t>
  </si>
  <si>
    <t>KINGDOM TRAVEL</t>
  </si>
  <si>
    <t>39,78373;-100,445882;"San Martín 1245 local 43; Mendoza ; Argentina";US;</t>
  </si>
  <si>
    <t>Espejo 218</t>
  </si>
  <si>
    <t>Espejo 218, Mendoza , Argentina</t>
  </si>
  <si>
    <t>-32,889099;-68,841952;Espejo 218, Mendoza , Argentina;Espejo 218, Ciudad de Mendoza, Sección 2ª Barrio Cívico, Mendoza, AR;</t>
  </si>
  <si>
    <t>JOYERIA VERZINI
PASAJE SAN MARTÍN</t>
  </si>
  <si>
    <t>LEYENDA</t>
  </si>
  <si>
    <t>San Martín 1136 local 16</t>
  </si>
  <si>
    <t>Av. San Martín 1823</t>
  </si>
  <si>
    <t>San Martín 1136 local 16, Mendoza , Argentina</t>
  </si>
  <si>
    <t>Av. San Martín 1823, Mendoza , Argentina</t>
  </si>
  <si>
    <t>39,78373;-100,445882;"San Martín 1136 local 16; Mendoza ; Argentina";US;</t>
  </si>
  <si>
    <t>-32,885271;-68,83804;Av, San Martín 1823, Mendoza , Argentina;Avenida San Martín, Ciudad de Mendoza, Sección 3ª Parque O'Higgins, Mendoza, AR;</t>
  </si>
  <si>
    <t>ISC VIAJES</t>
  </si>
  <si>
    <t>España 1016</t>
  </si>
  <si>
    <t>España 1016, Mendoza , Argentina</t>
  </si>
  <si>
    <t>-34,974904;-67,683115;España 1016, Mendoza , Argentina;España, General Alvear, Distrito Ciudad de General Alvear, Mendoza, AR;</t>
  </si>
  <si>
    <t>RASTA TOUILLE</t>
  </si>
  <si>
    <t>Av. San Martin 1835</t>
  </si>
  <si>
    <t>Av. San Martin 1835, Mendoza , Argentina</t>
  </si>
  <si>
    <t>-32,885271;-68,83804;Av, San Martin 1835, Mendoza , Argentina;Avenida San Martín, Ciudad de Mendoza, Sección 3ª Parque O'Higgins, Mendoza, AR;</t>
  </si>
  <si>
    <t>DHARMA
GALERÍA PIAZZA</t>
  </si>
  <si>
    <t>San Martín 1027 local 37-38</t>
  </si>
  <si>
    <t>San Martín 1027 local 37-38, Mendoza , Argentina</t>
  </si>
  <si>
    <t>39,78373;-100,445882;"San Martín 1027 local 37-38; Mendoza ; Argentina";US;</t>
  </si>
  <si>
    <t>HOLDING VIAJES</t>
  </si>
  <si>
    <t>GREGORIA MATORRAS</t>
  </si>
  <si>
    <t>Av. San Martín 1895</t>
  </si>
  <si>
    <t>España 1034</t>
  </si>
  <si>
    <t>Av. San Martín 1895, Mendoza , Argentina</t>
  </si>
  <si>
    <t>España 1034, Mendoza , Argentina</t>
  </si>
  <si>
    <t>-32,885271;-68,83804;Av, San Martín 1895, Mendoza , Argentina;Avenida San Martín, Ciudad de Mendoza, Sección 3ª Parque O'Higgins, Mendoza, AR;</t>
  </si>
  <si>
    <t>-34,974904;-67,683115;España 1034, Mendoza , Argentina;España, General Alvear, Distrito Ciudad de General Alvear, Mendoza, AR;</t>
  </si>
  <si>
    <t>RELOJERÍA Y JOYERÍA
GALERÍA PIAZZA</t>
  </si>
  <si>
    <t>San Martín 1027 local 44</t>
  </si>
  <si>
    <t>San Martín 1027 local 44, Mendoza , Argentina</t>
  </si>
  <si>
    <t>TAJAMAR
ARTE QUE FLUYE</t>
  </si>
  <si>
    <t>39,78373;-100,445882;"San Martín 1027 local 44; Mendoza ; Argentina";US;</t>
  </si>
  <si>
    <t>Av. San Martín 1921</t>
  </si>
  <si>
    <t>Av. San Martín 1921, Mendoza , Argentina</t>
  </si>
  <si>
    <t>-32,905153;-68,843136;Av, San Martín 1921, Mendoza , Argentina;Avenida San Martín 1921, General Espejo, Departamento Godoy Cruz, Mendoza, AR;</t>
  </si>
  <si>
    <t>ORTUBIA TRAVEL</t>
  </si>
  <si>
    <t>España 921</t>
  </si>
  <si>
    <t>España 921, Mendoza , Argentina</t>
  </si>
  <si>
    <t>-34,974904;-67,683115;España 921, Mendoza , Argentina;España, General Alvear, Distrito Ciudad de General Alvear, Mendoza, AR;</t>
  </si>
  <si>
    <t>MANSO PANCHO</t>
  </si>
  <si>
    <t>Av. San Martín 1945</t>
  </si>
  <si>
    <t>Av. San Martín 1945 local izquierda</t>
  </si>
  <si>
    <t>Av. San Martín 1945, Mendoza , Argentina</t>
  </si>
  <si>
    <t>-32,905015;-68,843103;Av, San Martín 1945, Mendoza , Argentina;Avenida San Martín 1945, General Espejo, Departamento Godoy Cruz, Mendoza, AR;</t>
  </si>
  <si>
    <t>VERSAILLES
GALERÍA PIAZZA</t>
  </si>
  <si>
    <t>San Martín 1027 local 56</t>
  </si>
  <si>
    <t>San Martín 1027 local 56, Mendoza , Argentina</t>
  </si>
  <si>
    <t>39,78373;-100,445882;"San Martín 1027 local 56; Mendoza ; Argentina";US;</t>
  </si>
  <si>
    <t>SENDAS</t>
  </si>
  <si>
    <t>España 1205</t>
  </si>
  <si>
    <t>España 1205, Mendoza , Argentina</t>
  </si>
  <si>
    <t>-34,974904;-67,683115;España 1205, Mendoza , Argentina;España, General Alvear, Distrito Ciudad de General Alvear, Mendoza, AR;</t>
  </si>
  <si>
    <t>LA CHABU RESTAURANT</t>
  </si>
  <si>
    <t>Av. San Martín 1975</t>
  </si>
  <si>
    <t>Av. San Martín 1975, Mendoza , Argentina</t>
  </si>
  <si>
    <t>-32,904841;-68,843061;Av, San Martín 1975, Mendoza , Argentina;Avenida San Martín 1975, General Espejo, Departamento Godoy Cruz, Mendoza, AR;</t>
  </si>
  <si>
    <t>San Martín 1027 local 58</t>
  </si>
  <si>
    <t>GILOS INTERNACIONALES
GALERÍA TOMSA</t>
  </si>
  <si>
    <t>San Martín 1027 local 58, Mendoza , Argentina</t>
  </si>
  <si>
    <t>San Martín 1067 local v14</t>
  </si>
  <si>
    <t>39,78373;-100,445882;"San Martín 1027 local 58; Mendoza ; Argentina";US;</t>
  </si>
  <si>
    <t>San Martín 1067 local v14, Mendoza , Argentina</t>
  </si>
  <si>
    <t>-33,080534;-68,471069;San Martín 1067 , Mendoza , Argentina;Distrito Ciudad de San Martín, Mendoza, AR;</t>
  </si>
  <si>
    <t>LONG PLAY</t>
  </si>
  <si>
    <t>Av. San Martin 2035</t>
  </si>
  <si>
    <t>Av. San Martin 2035, Mendoza , Argentina</t>
  </si>
  <si>
    <t>-32,904494;-68,842977;Av, San Martin 2035, Mendoza , Argentina;Avenida San Martín 2035, General Espejo, Departamento Godoy Cruz, Mendoza, AR;</t>
  </si>
  <si>
    <t>PASO DEL PORTILLO
PASAJE SAN MARTÍN</t>
  </si>
  <si>
    <t>San Martín 1136 local 3</t>
  </si>
  <si>
    <t>San Martín 1136 local 3, Mendoza , Argentina</t>
  </si>
  <si>
    <t>-33,080534;-68,471069;San Martín 1136 , Mendoza , Argentina;Distrito Ciudad de San Martín, Mendoza, AR;</t>
  </si>
  <si>
    <t>REGALARTE
GALERÍA PIAZZA</t>
  </si>
  <si>
    <t>San Martín 1027 local 62</t>
  </si>
  <si>
    <t>San Martín 1027 local 62, Mendoza , Argentina</t>
  </si>
  <si>
    <t>39,78373;-100,445882;"San Martín 1027 local 62; Mendoza ; Argentina";US;</t>
  </si>
  <si>
    <t>Av. San Martin 2055</t>
  </si>
  <si>
    <t>Av. San Martin 2055, Mendoza , Argentina</t>
  </si>
  <si>
    <t>-32,904378;-68,842949;Av, San Martin 2055, Mendoza , Argentina;Avenida San Martín 2055, General Espejo, Departamento Godoy Cruz, Mendoza, AR;</t>
  </si>
  <si>
    <t>HUENTATRA
PASAJE SAN MARTÍN</t>
  </si>
  <si>
    <t>San Martín 1136 local 26</t>
  </si>
  <si>
    <t>San Martín 1136 local 26, Mendoza , Argentina</t>
  </si>
  <si>
    <t>39,78373;-100,445882;San Martín 1136 local 26, Mendoza , Argentina;US;</t>
  </si>
  <si>
    <t>ISLA 63
GALERÍA PIAZZA</t>
  </si>
  <si>
    <t>San Martín 1027 local 63</t>
  </si>
  <si>
    <t>San Martín 1027 local 63, Mendoza , Argentina</t>
  </si>
  <si>
    <t>CRAZY COOK</t>
  </si>
  <si>
    <t>Av. San Martín 2097</t>
  </si>
  <si>
    <t>-33,052166;-68,557455;"San Martín 1027 local 63; Mendoza ; Argentina";"San Martín; Distrito Palmira; Mendoza; AR";</t>
  </si>
  <si>
    <t>Av. San Martín 2097, Mendoza , Argentina</t>
  </si>
  <si>
    <t>-32,904135;-68,842891;Av, San Martín 2097, Mendoza , Argentina;Avenida San Martín 2097, General Espejo, Departamento Godoy Cruz, Mendoza, AR;</t>
  </si>
  <si>
    <t>AIRES DE LA PUNA
GALERÍA PIAZZA</t>
  </si>
  <si>
    <t>San Martín 1027 local 11</t>
  </si>
  <si>
    <t>hacia arriba rubro galerías</t>
  </si>
  <si>
    <t>San Martín 1027 local 11, Mendoza , Argentina</t>
  </si>
  <si>
    <t>39,78373;-100,445882;San Martín 1027 local 11, Mendoza , Argentina;US;</t>
  </si>
  <si>
    <t>MAR ANDINO
CAFÉ-BAR</t>
  </si>
  <si>
    <t>Av. San Martín 2129</t>
  </si>
  <si>
    <t>Av. San Martín 2129, Mendoza , Argentina</t>
  </si>
  <si>
    <t>-32,899502;-68,841739;Av, San Martín 2129, Mendoza , Argentina;Avenida San Martín, Ciudad de Mendoza, Sección 2ª Barrio Cívico, Mendoza, AR;</t>
  </si>
  <si>
    <t>Marroquinería</t>
  </si>
  <si>
    <t>9 de July 1130</t>
  </si>
  <si>
    <t>WIPHALA
GALERÍA PIAZZA</t>
  </si>
  <si>
    <t>EL GITANO</t>
  </si>
  <si>
    <t>9 de Julio 1130, Mendoza , Argentina</t>
  </si>
  <si>
    <t>San Martín 1027 local 36</t>
  </si>
  <si>
    <t>Av. San Martín y Beltrán</t>
  </si>
  <si>
    <t>San Martín 1027 local 36, Mendoza , Argentina</t>
  </si>
  <si>
    <t>-34,972739;-67,68561;"9 de Julio 1130; Mendoza ; Argentina";"9 de Julio; General Alvear; Distrito Ciudad de General Alvear; Mendoza; AR";</t>
  </si>
  <si>
    <t>Av. San Martín y Beltrán , Mendoza , Argentina</t>
  </si>
  <si>
    <t>39,78373;-100,445882;San Martín 1027 local 36, Mendoza , Argentina;US;</t>
  </si>
  <si>
    <t>-32,783549;-60,726176;Av, San Martín y Beltrán , Mendoza , Argentina;Avenida San Martín, Fray Luis Beltrán, Municipio de Fray Luis Beltrán, Santa Fe, AR;</t>
  </si>
  <si>
    <t>GLOW</t>
  </si>
  <si>
    <t>CRISTIAN PAEZ VIAJES Y TURISMO
GALERÍA SAN MARCOS</t>
  </si>
  <si>
    <t>Av. San Martín 2237</t>
  </si>
  <si>
    <t>Av. San Martín 2237, Mendoza , Argentina</t>
  </si>
  <si>
    <t>Sarmiento 133 local 7</t>
  </si>
  <si>
    <t>-32,899502;-68,841739;Av, San Martín 2237, Mendoza , Argentina;Avenida San Martín, Ciudad de Mendoza, Sección 2ª Barrio Cívico, Mendoza, AR;</t>
  </si>
  <si>
    <t>Sarmiento 133 local 7, Mendoza , Argentina</t>
  </si>
  <si>
    <t>39,78373;-100,445882;Sarmiento 133 local 7, Mendoza , Argentina;US;</t>
  </si>
  <si>
    <t>Peatonal Sarmiento 23, Mendoza , Argentina</t>
  </si>
  <si>
    <t>39,78373;-100,445882;"Peatonal Sarmiento 23; Mendoza ; Argentina";US;</t>
  </si>
  <si>
    <t>NITZA FOREVER</t>
  </si>
  <si>
    <t>Av. San Martín 2253</t>
  </si>
  <si>
    <t>BRASTUR
GALERÍA SAN MARCOS</t>
  </si>
  <si>
    <t>Av. San Martín 2253, Mendoza , Argentina</t>
  </si>
  <si>
    <t>Sarmiento 133 local 6</t>
  </si>
  <si>
    <t>-32,885271;-68,83804;Av, San Martín 2253, Mendoza , Argentina;Avenida San Martín, Ciudad de Mendoza, Sección 3ª Parque O'Higgins, Mendoza, AR;</t>
  </si>
  <si>
    <t>Sarmiento 133 local 6, Mendoza , Argentina</t>
  </si>
  <si>
    <t>-34,983771;-67,69702;Sarmiento 133, Mendoza , Argentina;Sarmiento, General Alvear, Distrito Ciudad de General Alvear, Mendoza, AR;</t>
  </si>
  <si>
    <t>GMD VIAJES Y CONGRESOS
GALERÍA SAN MARCOS</t>
  </si>
  <si>
    <t>Sarmiento 133 local 25</t>
  </si>
  <si>
    <t>Peatonal Sarmiento 235</t>
  </si>
  <si>
    <t>Sarmiento 133 local 25, Mendoza , Argentina</t>
  </si>
  <si>
    <t>LA CASA TOMADA BARCITO</t>
  </si>
  <si>
    <t>Peatonal Sarmiento 235, Mendoza , Argentina</t>
  </si>
  <si>
    <t>-34,983771;-67,69702;Sarmiento 133 , Mendoza , Argentina;Sarmiento, General Alvear, Distrito Ciudad de General Alvear, Mendoza, AR;</t>
  </si>
  <si>
    <t>Av. San Martín 2259</t>
  </si>
  <si>
    <t>39,78373;-100,445882;"Peatonal Sarmiento 235; Mendoza ; Argentina";US;</t>
  </si>
  <si>
    <t>Av. San Martín 2259, Mendoza , Argentina</t>
  </si>
  <si>
    <t>-32,885271;-68,83804;Av, San Martín 2259, Mendoza , Argentina;Avenida San Martín, Ciudad de Mendoza, Sección 3ª Parque O'Higgins, Mendoza, AR;</t>
  </si>
  <si>
    <t>TRILOGÍA, SABOR EXPRESS</t>
  </si>
  <si>
    <t>Peatonal Sarmiento 184</t>
  </si>
  <si>
    <t>Peatonal Sarmiento 184, Mendoza , Argentina</t>
  </si>
  <si>
    <t>-32,890305;-68,841663;"Peatonal Sarmiento 184; Mendoza ; Argentina";"Sarmiento 184; Ciudad de Mendoza; Sección 3ª Parque O'Higgins; Mendoza; AR";</t>
  </si>
  <si>
    <t>GRUPO SUR SERVICIOS
GALERÍA SAN MARCOS</t>
  </si>
  <si>
    <t>Sarmiento 133 local 12</t>
  </si>
  <si>
    <t>Sarmiento 133 local 12, Mendoza , Argentina</t>
  </si>
  <si>
    <t>Av. San Martín 2297</t>
  </si>
  <si>
    <t>Av. San Martín 2297, Mendoza , Argentina</t>
  </si>
  <si>
    <t>-32,880999;-68,836909;Av, San Martín 2297, Mendoza , Argentina;Avenida San Martín, Ciudad de Mendoza, Sección 1ª Parque Central, Mendoza, AR;</t>
  </si>
  <si>
    <t>CONSTELACION TOURS
GALERÍA SAN MARCOS</t>
  </si>
  <si>
    <t>Sarmiento 133 local 11</t>
  </si>
  <si>
    <t>Sarmiento 133 local 11, Mendoza , Argentina</t>
  </si>
  <si>
    <t>ROCK RESTÓ BAR</t>
  </si>
  <si>
    <t>Maipú 30</t>
  </si>
  <si>
    <t>Peatonal Sarmiento 144</t>
  </si>
  <si>
    <t>Maipú 30, Mendoza , Argentina</t>
  </si>
  <si>
    <t>Peatonal Sarmiento 144, Mendoza , Argentina</t>
  </si>
  <si>
    <t>-34,998736;-67,651152;Maipú 30, Mendoza , Argentina;Maipú, Colonia Alvear, Distrito Alvear Oeste, Mendoza, AR;</t>
  </si>
  <si>
    <t>CONO SUR
GALERÍA SAN MARCOS</t>
  </si>
  <si>
    <t>Sarmiento 133 local 36</t>
  </si>
  <si>
    <t>39,78373;-100,445882;"Peatonal Sarmiento 144; Mendoza ; Argentina";US;</t>
  </si>
  <si>
    <t>Sarmiento 133 local 36, Mendoza , Argentina</t>
  </si>
  <si>
    <t>BAR CREATIVO</t>
  </si>
  <si>
    <t>Av. San Martín 2307</t>
  </si>
  <si>
    <t>RINOS TURISMO
GALERÍA VÍA DEL SOL</t>
  </si>
  <si>
    <t>Av. San Martín 2307, Mendoza , Argentina</t>
  </si>
  <si>
    <t>Av. Las Heras 430 local 11</t>
  </si>
  <si>
    <t>-32,885271;-68,83804;Av, San Martín 2307, Mendoza , Argentina;Avenida San Martín, Ciudad de Mendoza, Sección 3ª Parque O'Higgins, Mendoza, AR;</t>
  </si>
  <si>
    <t>Av. Las Heras 430 local 11, Mendoza , Argentina</t>
  </si>
  <si>
    <t>-32,885401;-68,843815;Av, Las Heras 430, Mendoza , Argentina;Avenida Las Heras 430, Ciudad de Mendoza, Sección 1ª Parque Central, Mendoza, AR;</t>
  </si>
  <si>
    <t>TURISMO EN PLATA
GALERÍA VÍA DEL SOL</t>
  </si>
  <si>
    <t>TUTTO CAFÉ</t>
  </si>
  <si>
    <t>Av. Las Heras 430 local 26</t>
  </si>
  <si>
    <t>Av. San Martín 2321</t>
  </si>
  <si>
    <t>Av. Las Heras 430 local 26, Mendoza , Argentina</t>
  </si>
  <si>
    <t>Av. San Martín 2321, Mendoza , Argentina</t>
  </si>
  <si>
    <t>-32,885401;-68,843815;Av, Las Heras 430 , Mendoza , Argentina;Avenida Las Heras 430, Ciudad de Mendoza, Sección 1ª Parque Central, Mendoza, AR;</t>
  </si>
  <si>
    <t>-32,885271;-68,83804;Av, San Martín 2321, Mendoza , Argentina;Avenida San Martín, Ciudad de Mendoza, Sección 3ª Parque O'Higgins, Mendoza, AR;</t>
  </si>
  <si>
    <t>-34,623133;-68,343141;"Av, Sarmiento 687; Mendoza ; Argentina";"Avenida Sarmiento 687; San Rafael; Distrito Ciudad de San Rafael; Mendoza; AR";</t>
  </si>
  <si>
    <t>EL 10 RESTO BAR</t>
  </si>
  <si>
    <t>Av. San Martín 2347</t>
  </si>
  <si>
    <t>Av. San Martín 2347 local izquierda</t>
  </si>
  <si>
    <t>Av. San Martín 2347, Mendoza , Argentina</t>
  </si>
  <si>
    <t>LUJÁN
GALERÍA VÍA DEL SOL</t>
  </si>
  <si>
    <t>-32,885271;-68,83804;Av, San Martín 2347, Mendoza , Argentina;Avenida San Martín, Ciudad de Mendoza, Sección 3ª Parque O'Higgins, Mendoza, AR;</t>
  </si>
  <si>
    <t>Av. Las Heras 430 local 24</t>
  </si>
  <si>
    <t>Av. Las Heras 430 local 24, Mendoza , Argentina</t>
  </si>
  <si>
    <t>EL CALA NO CHILLA
BAR</t>
  </si>
  <si>
    <t>CAFÉ LUCAS</t>
  </si>
  <si>
    <t>Av. San Martín 2300</t>
  </si>
  <si>
    <t>Arístides Villanueva 101</t>
  </si>
  <si>
    <t>Av. San Martín 2300, Mendoza , Argentina</t>
  </si>
  <si>
    <t>Av. Colón 418</t>
  </si>
  <si>
    <t>Arístides Villanueva 101, Mendoza , Argentina</t>
  </si>
  <si>
    <t>-32,885271;-68,83804;Av, San Martín 2300, Mendoza , Argentina;Avenida San Martín, Ciudad de Mendoza, Sección 3ª Parque O'Higgins, Mendoza, AR;</t>
  </si>
  <si>
    <t>-32,892768;-68,852106;"Arístides Villanueva 101; Mendoza ; Argentina";"Arístides Villanueva 101; Ciudad de Mendoza; Sección 5ª Residencial Sur; Mendoza; AR";</t>
  </si>
  <si>
    <t>Av. San Martín 1998</t>
  </si>
  <si>
    <t>Av. San Martín 1998, Mendoza , Argentina</t>
  </si>
  <si>
    <t>-32,880123;-68,836277;Av, San Martín 1998, Mendoza , Argentina;Avenida San Martín 1998, Ciudad de Mendoza, Sección 1ª Parque Central, Mendoza, AR;</t>
  </si>
  <si>
    <t>PARRILLADA 13</t>
  </si>
  <si>
    <t>E. Blanco 2</t>
  </si>
  <si>
    <t>E. Blanco 2, Mendoza , Argentina</t>
  </si>
  <si>
    <t>39,78373;-100,445882;E, Blanco 2, Mendoza , Argentina;US;</t>
  </si>
  <si>
    <t>Arístides Villanueva 314</t>
  </si>
  <si>
    <t>Arístides Villanueva 314, Mendoza , Argentina</t>
  </si>
  <si>
    <t>-32,892378;-68,855083;"Arístides Villanueva 314; Mendoza ; Argentina";"Arístides Villanueva 314; Ciudad de Mendoza; Sección 5ª Residencial Sur; Mendoza; AR";</t>
  </si>
  <si>
    <t>LA MAMMA</t>
  </si>
  <si>
    <t>Av. San Martín 1704</t>
  </si>
  <si>
    <t>Av. San Martín 1704 local derecha</t>
  </si>
  <si>
    <t>Av. San Martín 1704, Mendoza , Argentina</t>
  </si>
  <si>
    <t>-32,883984;-68,83779;Av, San Martín 1704, Mendoza , Argentina;Avenida San Martín 1704, Ciudad de Mendoza, Sección 3ª Parque O'Higgins, Mendoza, AR;</t>
  </si>
  <si>
    <t>PUEBLOS DEL MUNDO</t>
  </si>
  <si>
    <t>Av. San Martín 1329</t>
  </si>
  <si>
    <t>Av. Las Heras 61</t>
  </si>
  <si>
    <t>Av. Colón 293 local izquierda</t>
  </si>
  <si>
    <t>Av. Las Heras 61, Mendoza , Argentina</t>
  </si>
  <si>
    <t>Av. San Martín 1329, Mendoza , Argentina</t>
  </si>
  <si>
    <t>-32,886209;-68,83892;Av, Las Heras 61, Mendoza , Argentina;Avenida Las Heras 61, Ciudad de Mendoza, Sección 3ª Parque O'Higgins, Mendoza, AR;</t>
  </si>
  <si>
    <t>-32,885271;-68,83804;"Av, San Martín 1329; Mendoza ; Argentina";"Avenida San Martín; Ciudad de Mendoza; Sección 3ª Parque O'Higgins; Mendoza; AR";</t>
  </si>
  <si>
    <t>UN CAFÉ</t>
  </si>
  <si>
    <t>Av. Las Heras 87</t>
  </si>
  <si>
    <t>Av. Las Heras 87, Mendoza , Argentina</t>
  </si>
  <si>
    <t>-32,886132;-68,839392;Av, Las Heras 87, Mendoza , Argentina;Avenida Las Heras 87, Ciudad de Mendoza, Sección 3ª Parque O'Higgins, Mendoza, AR;</t>
  </si>
  <si>
    <t>San Martín y Av. Las Heras</t>
  </si>
  <si>
    <t>San Martín y Av. Las Heras 1500</t>
  </si>
  <si>
    <t>San Martín y Av. Las Heras, Mendoza , Argentina</t>
  </si>
  <si>
    <t>39,78373;-100,445882;San Martín y Av, Las Heras, Mendoza , Argentina;US;</t>
  </si>
  <si>
    <t>Av. San Martín 1315</t>
  </si>
  <si>
    <t>Av. San Martín 1315, Mendoza , Argentina</t>
  </si>
  <si>
    <t>-32,885271;-68,83804;"Av, San Martín 1315; Mendoza ; Argentina";"Avenida San Martín; Ciudad de Mendoza; Sección 3ª Parque O'Higgins; Mendoza; AR";</t>
  </si>
  <si>
    <t>HELADOS SOPPELSA</t>
  </si>
  <si>
    <t>Av. Las Heras 199</t>
  </si>
  <si>
    <t>Av. Las Heras 199, Mendoza , Argentina</t>
  </si>
  <si>
    <t>-32,885853;-68,840748;Av, Las Heras 199, Mendoza , Argentina;Avenida Las Heras 199, Ciudad de Mendoza, Sección 1ª Parque Central, Mendoza, AR;</t>
  </si>
  <si>
    <t>Av. Las Heras 301</t>
  </si>
  <si>
    <t>Av. Las Heras 301, Mendoza , Argentina</t>
  </si>
  <si>
    <t>-32,885619;-68,842158;Av, Las Heras 301, Mendoza , Argentina;Avenida Las Heras 301, Ciudad de Mendoza, Sección 1ª Parque Central, Mendoza, AR;</t>
  </si>
  <si>
    <t>UMBRAL</t>
  </si>
  <si>
    <t>-32,885271;-68,83804;"Av, San Martín 1455; Mendoza ; Argentina";"Avenida San Martín; Ciudad de Mendoza; Sección 3ª Parque O'Higgins; Mendoza; AR";</t>
  </si>
  <si>
    <t>BONE CUISINE</t>
  </si>
  <si>
    <t>Av. Las Heras 475</t>
  </si>
  <si>
    <t>Av. Las Heras 475, Mendoza , Argentina</t>
  </si>
  <si>
    <t>-32,885196;-68,844661;Av, Las Heras 475, Mendoza , Argentina;Avenida Las Heras, Ciudad de Mendoza, Sección 1ª Parque Central, Mendoza, AR;</t>
  </si>
  <si>
    <t>DE UN RINCÓN DE LA BOCA</t>
  </si>
  <si>
    <t>Av. Las Heras 485</t>
  </si>
  <si>
    <t>Av. Las Heras 485, Mendoza , Argentina</t>
  </si>
  <si>
    <t>-32,885196;-68,844661;Av, Las Heras 485, Mendoza , Argentina;Avenida Las Heras, Ciudad de Mendoza, Sección 1ª Parque Central, Mendoza, AR;</t>
  </si>
  <si>
    <t>Av. Las Heras 511</t>
  </si>
  <si>
    <t>Av. Las Heras 511, Mendoza , Argentina</t>
  </si>
  <si>
    <t>-32,884946;-68,845231;Av, Las Heras 511, Mendoza , Argentina;Avenida Las Heras 511, Ciudad de Mendoza, Sección 1ª Parque Central, Mendoza, AR;</t>
  </si>
  <si>
    <t>Av. San Martín 1451</t>
  </si>
  <si>
    <t>Av. San Martín 1451, Mendoza , Argentina</t>
  </si>
  <si>
    <t>-32,864375;-68,832452;"Av, San Martín 1451; Mendoza ; Argentina";"Avenida San Martín; Ciudad de Mendoza; Sección 4ª Oeste y Área Fundacional; Mendoza; AR";</t>
  </si>
  <si>
    <t>TEATRO MARÍA MAZZARELLO</t>
  </si>
  <si>
    <t>Av. Las Heras 646</t>
  </si>
  <si>
    <t>Av. Las Heras 646, Mendoza , Argentina</t>
  </si>
  <si>
    <t>-32,884912;-68,846484;Av, Las Heras 646, Mendoza , Argentina;Avenida Las Heras 646, Ciudad de Mendoza, Sección 1ª Parque Central, Mendoza, AR;</t>
  </si>
  <si>
    <t>CARO PEPE</t>
  </si>
  <si>
    <t>Av. Las Heras 510</t>
  </si>
  <si>
    <t>Av. Las Heras 510, Mendoza , Argentina</t>
  </si>
  <si>
    <t>-32,885217;-68,844826;Av, Las Heras 510, Mendoza , Argentina;Avenida Las Heras 510, Ciudad de Mendoza, Sección 1ª Parque Central, Mendoza, AR;</t>
  </si>
  <si>
    <t>Av. San Martín 1480</t>
  </si>
  <si>
    <t>ZURICH</t>
  </si>
  <si>
    <t>Av. San Martín 1480, Mendoza , Argentina</t>
  </si>
  <si>
    <t>Av. Las Heras 534</t>
  </si>
  <si>
    <t>Av. Las Heras 534, Mendoza , Argentina</t>
  </si>
  <si>
    <t>-32,886636;-68,838448;"Av, San Martín 1480; Mendoza ; Argentina";"Avenida San Martín 1480; Ciudad de Mendoza; Sección 3ª Parque O'Higgins; Mendoza; AR";</t>
  </si>
  <si>
    <t>-32,885167;-68,8451;Av, Las Heras 534, Mendoza , Argentina;Avenida Las Heras 534, Ciudad de Mendoza, Sección 1ª Parque Central, Mendoza, AR;</t>
  </si>
  <si>
    <t>EL KANO</t>
  </si>
  <si>
    <t>Av. Las Heras 590 local derecha</t>
  </si>
  <si>
    <t>TOMMY´S</t>
  </si>
  <si>
    <t>Av. Las Heras 414</t>
  </si>
  <si>
    <t>Av. Las Heras 414, Mendoza , Argentina</t>
  </si>
  <si>
    <t>-32,885434;-68,843631;Av, Las Heras 414, Mendoza , Argentina;Avenida Las Heras 414, Ciudad de Mendoza, Sección 1ª Parque Central, Mendoza, AR;</t>
  </si>
  <si>
    <t>ONDA LIBRE</t>
  </si>
  <si>
    <t>Av. Las Heras 446</t>
  </si>
  <si>
    <t>Av. Las Heras 446, Mendoza , Argentina</t>
  </si>
  <si>
    <t>-32,885368;-68,844;Av, Las Heras 446, Mendoza , Argentina;Avenida Las Heras 446, Ciudad de Mendoza, Sección 1ª Parque Central, Mendoza, AR;</t>
  </si>
  <si>
    <t>Av. Las Heras 257, Mendoza , Argentina</t>
  </si>
  <si>
    <t>-32,885734;-68,841532;"Av, Las Heras 257; Mendoza ; Argentina";"Avenida Las Heras 257; Ciudad de Mendoza; Sección 1ª Parque Central; Mendoza; AR";</t>
  </si>
  <si>
    <t>AILEN</t>
  </si>
  <si>
    <t>Av. Las Heras 488 local izquierda</t>
  </si>
  <si>
    <t>STOP PARRILLA</t>
  </si>
  <si>
    <t>Av. Las Heras 362</t>
  </si>
  <si>
    <t>Av. Las Heras 362, Mendoza , Argentina</t>
  </si>
  <si>
    <t>-32,885599;-68,842817;Av, Las Heras 362, Mendoza , Argentina;Avenida Las Heras 362, Ciudad de Mendoza, Sección 1ª Parque Central, Mendoza, AR;</t>
  </si>
  <si>
    <t>Av. Las Heras 242, Mendoza , Argentina</t>
  </si>
  <si>
    <t>ANA SELLOS</t>
  </si>
  <si>
    <t>-32,885915;-68,841298;Av, Las Heras 242, Mendoza , Argentina;Avenida Las Heras 242, Ciudad de Mendoza, Sección 1ª Parque Central, Mendoza, AR;</t>
  </si>
  <si>
    <t>Av. Las Heras 267</t>
  </si>
  <si>
    <t>9 de July 1157</t>
  </si>
  <si>
    <t>Av. Las Heras 267, Mendoza , Argentina</t>
  </si>
  <si>
    <t>-32,885715;-68,841637;"Av, Las Heras 267; Mendoza ; Argentina";"Avenida Las Heras 267; Ciudad de Mendoza; Sección 1ª Parque Central; Mendoza; AR";</t>
  </si>
  <si>
    <t>Av. Las Heras 298</t>
  </si>
  <si>
    <t>Av. Las Heras 298, Mendoza , Argentina</t>
  </si>
  <si>
    <t>-32,885752;-68,841984;Av, Las Heras 298, Mendoza , Argentina;Avenida Las Heras 298, Ciudad de Mendoza, Sección 1ª Parque Central, Mendoza, AR;</t>
  </si>
  <si>
    <t>CHINI HELADOS</t>
  </si>
  <si>
    <t>España y Av. Las Heras 1492</t>
  </si>
  <si>
    <t>España y Av. Las Heras 1492, Mendoza , Argentina</t>
  </si>
  <si>
    <t>39,78373;-100,445882;España y Av, Las Heras 1492, Mendoza , Argentina;US;</t>
  </si>
  <si>
    <t>Av. Las Heras 399</t>
  </si>
  <si>
    <t>9 de Julio 1661 local derecha</t>
  </si>
  <si>
    <t>Av. Las Heras 399, Mendoza , Argentina</t>
  </si>
  <si>
    <t>-32,885425;-68,843199;"Av, Las Heras 399; Mendoza ; Argentina";"Avenida Las Heras 399; Ciudad de Mendoza; Sección 1ª Parque Central; Mendoza; AR";</t>
  </si>
  <si>
    <t>San Martín y Av. Las Heras 1498</t>
  </si>
  <si>
    <t>San Martín y Av. Las Heras 1498, Mendoza , Argentina</t>
  </si>
  <si>
    <t>39,78373;-100,445882;San Martín y Av, Las Heras 1498, Mendoza , Argentina;US;</t>
  </si>
  <si>
    <t>Av. Las Heras 415</t>
  </si>
  <si>
    <t>Av. Las Heras 415, Mendoza , Argentina</t>
  </si>
  <si>
    <t>ARABIAN FOOD TRUCK</t>
  </si>
  <si>
    <t>Av. Colón 107</t>
  </si>
  <si>
    <t>-32,885196;-68,844661;"Av, Las Heras 415; Mendoza ; Argentina";"Avenida Las Heras; Ciudad de Mendoza; Sección 1ª Parque Central; Mendoza; AR";</t>
  </si>
  <si>
    <t>Av. Colón 107, Mendoza , Argentina</t>
  </si>
  <si>
    <t>-32,894025;-68,845681;Av, Colón 107, Mendoza , Argentina;Avenida Colón, Ciudad de Mendoza, Sección 2ª Barrio Cívico, Mendoza, AR;</t>
  </si>
  <si>
    <t>Av. Colón 121</t>
  </si>
  <si>
    <t>Av. Colón 121 local derecha</t>
  </si>
  <si>
    <t>Av. Colón 121, Mendoza , Argentina</t>
  </si>
  <si>
    <t>-32,894025;-68,845681;Av, Colón 121, Mendoza , Argentina;Avenida Colón, Ciudad de Mendoza, Sección 2ª Barrio Cívico, Mendoza, AR;</t>
  </si>
  <si>
    <t>EL TUPINAMBA</t>
  </si>
  <si>
    <t>Av. Las Heras 431</t>
  </si>
  <si>
    <t>España 1544</t>
  </si>
  <si>
    <t>Av. Las Heras 431, Mendoza , Argentina</t>
  </si>
  <si>
    <t>CRISTOBAL</t>
  </si>
  <si>
    <t>-32,885196;-68,844661;"Av, Las Heras 431; Mendoza ; Argentina";"Avenida Las Heras; Ciudad de Mendoza; Sección 1ª Parque Central; Mendoza; AR";</t>
  </si>
  <si>
    <t>Av. Colón 207</t>
  </si>
  <si>
    <t>Av. Colón 207, Mendoza , Argentina</t>
  </si>
  <si>
    <t>-32,894025;-68,845681;Av, Colón 207, Mendoza , Argentina;Avenida Colón, Ciudad de Mendoza, Sección 2ª Barrio Cívico, Mendoza, AR;</t>
  </si>
  <si>
    <t>Av. Colón 349</t>
  </si>
  <si>
    <t>Av. Colón 349 local derecha</t>
  </si>
  <si>
    <t>Av. Colón 349, Mendoza , Argentina</t>
  </si>
  <si>
    <t>-32,894025;-68,845681;Av, Colón 349, Mendoza , Argentina;Avenida Colón, Ciudad de Mendoza, Sección 2ª Barrio Cívico, Mendoza, AR;</t>
  </si>
  <si>
    <t>CUEROS</t>
  </si>
  <si>
    <t>Av. Las Heras 509</t>
  </si>
  <si>
    <t>Av. Las Heras 509, Mendoza , Argentina</t>
  </si>
  <si>
    <t>-32,885196;-68,844661;"Av, Las Heras 509; Mendoza ; Argentina";"Avenida Las Heras; Ciudad de Mendoza; Sección 1ª Parque Central; Mendoza; AR";</t>
  </si>
  <si>
    <t>Av. Colón 385, Mendoza , Argentina</t>
  </si>
  <si>
    <t>-32,894025;-68,845681;Av, Colón 385, Mendoza , Argentina;Avenida Colón, Ciudad de Mendoza, Sección 2ª Barrio Cívico, Mendoza, AR;</t>
  </si>
  <si>
    <t>CAFÉ LA LOLA</t>
  </si>
  <si>
    <t>BROER ENFANTS</t>
  </si>
  <si>
    <t>Av. Colón 531 local der.;der.</t>
  </si>
  <si>
    <t>Av. Las Heras 228</t>
  </si>
  <si>
    <t>-32,893618;-68,847317;Av, Colón 531, Mendoza , Argentina;Avenida Colón 531, Ciudad de Mendoza, Sección 2ª Barrio Cívico, Mendoza, AR;</t>
  </si>
  <si>
    <t>Av. Las Heras 228, Mendoza , Argentina</t>
  </si>
  <si>
    <t>-32,885895;-68,841219;"Av, Las Heras 228; Mendoza ; Argentina";"Avenida Las Heras 228; Ciudad de Mendoza; Sección 1ª Parque Central; Mendoza; AR";</t>
  </si>
  <si>
    <t>Av. Colón 531 local izq.; izq.</t>
  </si>
  <si>
    <t>Av. Las Heras 266</t>
  </si>
  <si>
    <t>Av. Las Heras 266, Mendoza , Argentina</t>
  </si>
  <si>
    <t>-32,885817;-68,841634;"Av, Las Heras 266; Mendoza ; Argentina";"Avenida Las Heras 266; Ciudad de Mendoza; Sección 1ª Parque Central; Mendoza; AR";</t>
  </si>
  <si>
    <t>MIGAJA´S</t>
  </si>
  <si>
    <t>Av. Colón 601</t>
  </si>
  <si>
    <t>Av. Colón 601, Mendoza , Argentina</t>
  </si>
  <si>
    <t>-32,894025;-68,845681;Av, Colón 601, Mendoza , Argentina;Avenida Colón, Ciudad de Mendoza, Sección 2ª Barrio Cívico, Mendoza, AR;</t>
  </si>
  <si>
    <t>BAMBÚ</t>
  </si>
  <si>
    <t>Av. Colón 532, Mendoza , Argentina</t>
  </si>
  <si>
    <t>-32,893786;-68,847379;Av, Colón 532, Mendoza , Argentina;Avenida Colón 532, Ciudad de Mendoza, Sección 2ª Barrio Cívico, Mendoza, AR;</t>
  </si>
  <si>
    <t>AG ASOCIADOS</t>
  </si>
  <si>
    <t>Av. Las Heras 10</t>
  </si>
  <si>
    <t>9 de Julio 1126 Dpto 22</t>
  </si>
  <si>
    <t>Av. Las Heras 10, Mendoza , Argentina</t>
  </si>
  <si>
    <t>-32,8864;-68,838548;"Av, Las Heras 10; Mendoza ; Argentina";"Avenida Las Heras 10; Ciudad de Mendoza; Sección 3ª Parque O'Higgins; Mendoza; AR";</t>
  </si>
  <si>
    <t>Av. Colón 502, Mendoza , Argentina</t>
  </si>
  <si>
    <t>-32,893842;-68,847066;Av, Colón 502, Mendoza , Argentina;Avenida Colón 502, Ciudad de Mendoza, Sección 2ª Barrio Cívico, Mendoza, AR;</t>
  </si>
  <si>
    <t>ANSILTA</t>
  </si>
  <si>
    <t>Av. Colón 251</t>
  </si>
  <si>
    <t>Av. Colón 251, Mendoza , Argentina</t>
  </si>
  <si>
    <t>-32,894025;-68,845681;"Av, Colón 251; Mendoza ; Argentina";"Avenida Colón; Ciudad de Mendoza; Sección 2ª Barrio Cívico; Mendoza; AR";</t>
  </si>
  <si>
    <t>PASAJE Y COLÓN
CAFÉ-BAR</t>
  </si>
  <si>
    <t>Av. Colón 490</t>
  </si>
  <si>
    <t>Av. Colón 490, Mendoza , Argentina</t>
  </si>
  <si>
    <t>-32,894025;-68,845681;Av, Colón 490, Mendoza , Argentina;Avenida Colón, Ciudad de Mendoza, Sección 2ª Barrio Cívico, Mendoza, AR;</t>
  </si>
  <si>
    <t>PETITE MAISON</t>
  </si>
  <si>
    <t>Av. Colón 462, Mendoza , Argentina</t>
  </si>
  <si>
    <t>-32,894025;-68,845681;Av, Colón 462, Mendoza , Argentina;Avenida Colón, Ciudad de Mendoza, Sección 2ª Barrio Cívico, Mendoza, AR;</t>
  </si>
  <si>
    <t>-32,894025;-68,845681;"Av, Colón 293; Mendoza ; Argentina";"Avenida Colón; Ciudad de Mendoza; Sección 2ª Barrio Cívico; Mendoza; AR";</t>
  </si>
  <si>
    <t>SUPER PANCHO</t>
  </si>
  <si>
    <t>Av. Colón 450</t>
  </si>
  <si>
    <t>Av. Colón 450, Mendoza , Argentina</t>
  </si>
  <si>
    <t>-32,894025;-68,845681;Av, Colón 450, Mendoza , Argentina;Avenida Colón, Ciudad de Mendoza, Sección 2ª Barrio Cívico, Mendoza, AR;</t>
  </si>
  <si>
    <t>Av. Colón 738, Mendoza , Argentina</t>
  </si>
  <si>
    <t>-32,893296;-68,850057;"Av, Colón 738; Mendoza ; Argentina";"Avenida Colón 738; Ciudad de Mendoza; Sección 5ª Residencial Sur; Mendoza; AR";</t>
  </si>
  <si>
    <t>PUNTA COLÓN</t>
  </si>
  <si>
    <t>Av. Colón 452</t>
  </si>
  <si>
    <t>Av. Colón 452 local izquierda</t>
  </si>
  <si>
    <t>Av. Colón 452, Mendoza , Argentina</t>
  </si>
  <si>
    <t>-32,894025;-68,845681;Av, Colón 452, Mendoza , Argentina;Avenida Colón, Ciudad de Mendoza, Sección 2ª Barrio Cívico, Mendoza, AR;</t>
  </si>
  <si>
    <t>Av. Colón 430 local derecha</t>
  </si>
  <si>
    <t>MARTINA</t>
  </si>
  <si>
    <t>-32,894025;-68,845681;Av, Colón 430, Mendoza , Argentina;Avenida Colón, Ciudad de Mendoza, Sección 2ª Barrio Cívico, Mendoza, AR;</t>
  </si>
  <si>
    <t>Av. Colón 364</t>
  </si>
  <si>
    <t>9 de Julio 1658 local derecha</t>
  </si>
  <si>
    <t>Av. Colón 364, Mendoza , Argentina</t>
  </si>
  <si>
    <t>-32,894025;-68,845681;"Av, Colón 364; Mendoza ; Argentina";"Avenida Colón; Ciudad de Mendoza; Sección 2ª Barrio Cívico; Mendoza; AR";</t>
  </si>
  <si>
    <t>España 1083</t>
  </si>
  <si>
    <t>España 1083, Mendoza , Argentina</t>
  </si>
  <si>
    <t>CHACRAS CHOCOLATES</t>
  </si>
  <si>
    <t>Av. Colón 424</t>
  </si>
  <si>
    <t>-34,974904;-67,683115;"España 1083; Mendoza ; Argentina";"España; General Alvear; Distrito Ciudad de General Alvear; Mendoza; AR";</t>
  </si>
  <si>
    <t>Av. Colón 424, Mendoza , Argentina</t>
  </si>
  <si>
    <t>-32,894025;-68,845681;Av, Colón 424, Mendoza , Argentina;Avenida Colón, Ciudad de Mendoza, Sección 2ª Barrio Cívico, Mendoza, AR;</t>
  </si>
  <si>
    <t>Av. Colón 418, Mendoza , Argentina</t>
  </si>
  <si>
    <t>-32,894025;-68,845681;Av, Colón 418, Mendoza , Argentina;Avenida Colón, Ciudad de Mendoza, Sección 2ª Barrio Cívico, Mendoza, AR;</t>
  </si>
  <si>
    <t>CUEROS
GALERÍA MENDOZA</t>
  </si>
  <si>
    <t>San Martín 1360 local 18 a 21</t>
  </si>
  <si>
    <t>San Martín 1360 local 18 a 21, Mendoza , Argentina</t>
  </si>
  <si>
    <t>39,78373;-100,445882;"San Martín 1360 local 18 a 21; Mendoza ; Argentina";US;</t>
  </si>
  <si>
    <t>LA CONTINENTAL</t>
  </si>
  <si>
    <t>Av. Colón 368</t>
  </si>
  <si>
    <t>Av. Colón 368, Mendoza , Argentina</t>
  </si>
  <si>
    <t>-32,894025;-68,845681;Av, Colón 368, Mendoza , Argentina;Avenida Colón, Ciudad de Mendoza, Sección 2ª Barrio Cívico, Mendoza, AR;</t>
  </si>
  <si>
    <t>FAGOLA CUEROS
GALERÍA TOMSA</t>
  </si>
  <si>
    <t>San Martín 1167 local s44</t>
  </si>
  <si>
    <t>San Martín 1167 local s44, Mendoza , Argentina</t>
  </si>
  <si>
    <t>39,78373;-100,445882;"San Martín 1167 local s44; Mendoza ; Argentina";US;</t>
  </si>
  <si>
    <t>FRANCISCO CUEROS
GALERÍA TOMSA</t>
  </si>
  <si>
    <t>San Martín 1167 local s56</t>
  </si>
  <si>
    <t>San Martín 1167 local s56, Mendoza , Argentina</t>
  </si>
  <si>
    <t>39,78373;-100,445882;"San Martín 1167 local s56; Mendoza ; Argentina";US;</t>
  </si>
  <si>
    <t>Av. Colón 298</t>
  </si>
  <si>
    <t>Av. Colón 298, Mendoza , Argentina</t>
  </si>
  <si>
    <t>-32,894025;-68,845681;Av, Colón 298, Mendoza , Argentina;Avenida Colón, Ciudad de Mendoza, Sección 2ª Barrio Cívico, Mendoza, AR;</t>
  </si>
  <si>
    <t>CHAGAL
GALERÍA TOMSA</t>
  </si>
  <si>
    <t>San Martín 1167 local j 8/10</t>
  </si>
  <si>
    <t>San Martín 1167 local j 8/10, Mendoza , Argentina</t>
  </si>
  <si>
    <t>39,78373;-100,445882;"San Martín 1167 local j 8/10; Mendoza ; Argentina";US;</t>
  </si>
  <si>
    <t>JACKSONVILLE</t>
  </si>
  <si>
    <t>Av. Colón 250</t>
  </si>
  <si>
    <t>Av. Colón 250, Mendoza , Argentina</t>
  </si>
  <si>
    <t>-32,894025;-68,845681;Av, Colón 250, Mendoza , Argentina;Avenida Colón, Ciudad de Mendoza, Sección 2ª Barrio Cívico, Mendoza, AR;</t>
  </si>
  <si>
    <t>CUEROS FILIPO
GALERÍA TOMSA</t>
  </si>
  <si>
    <t>San Martín 1167 local j7</t>
  </si>
  <si>
    <t>San Martín 1167 local j7, Mendoza , Argentina</t>
  </si>
  <si>
    <t>39,78373;-100,445882;"San Martín 1167 local j7; Mendoza ; Argentina";US;</t>
  </si>
  <si>
    <t>Av. Colón 136</t>
  </si>
  <si>
    <t>Av. Colón 136, Mendoza , Argentina</t>
  </si>
  <si>
    <t>-32,894025;-68,845681;Av, Colón 136, Mendoza , Argentina;Avenida Colón, Ciudad de Mendoza, Sección 2ª Barrio Cívico, Mendoza, AR;</t>
  </si>
  <si>
    <t>CUEROS TONY
GALERÍA CARACOL</t>
  </si>
  <si>
    <t>Espejo 299</t>
  </si>
  <si>
    <t>San Martín 1245 local 70</t>
  </si>
  <si>
    <t>Espejo 299, Mendoza , Argentina</t>
  </si>
  <si>
    <t>San Martín 1245 local 70, Mendoza , Argentina</t>
  </si>
  <si>
    <t>-32,887937;-68,84806;Espejo 299, Mendoza , Argentina;Espejo, Ciudad de Mendoza, Sección 2ª Barrio Cívico, Mendoza, AR;</t>
  </si>
  <si>
    <t>-33,052166;-68,557455;"San Martín 1245 local 70; Mendoza ; Argentina";"San Martín; Distrito Palmira; Mendoza; AR";</t>
  </si>
  <si>
    <t>BARCA</t>
  </si>
  <si>
    <t>Espejo 120</t>
  </si>
  <si>
    <t>FAGOLA CUEROS
GALERÍA CARACOL</t>
  </si>
  <si>
    <t>Espejo 120, Mendoza , Argentina</t>
  </si>
  <si>
    <t>San Martín 1245 local 76</t>
  </si>
  <si>
    <t>-32,888641;-68,844186;Espejo 120, Mendoza , Argentina;Espejo, Ciudad de Mendoza, Sección 2ª Barrio Cívico, Mendoza, AR;</t>
  </si>
  <si>
    <t>San Martín 1245 local 76, Mendoza , Argentina</t>
  </si>
  <si>
    <t>39,78373;-100,445882;"San Martín 1245 local 76; Mendoza ; Argentina";US;</t>
  </si>
  <si>
    <t>LOS JUJEÑOS SANDWICH</t>
  </si>
  <si>
    <t>Godoy Cruz 71</t>
  </si>
  <si>
    <t>Godoy Cruz 71 local medio</t>
  </si>
  <si>
    <t>Godoy Cruz 71, Mendoza , Argentina</t>
  </si>
  <si>
    <t>-34,979176;-67,688023;Godoy Cruz 71, Mendoza , Argentina;Godoy Cruz, General Alvear, Distrito Ciudad de General Alvear, Mendoza, AR;</t>
  </si>
  <si>
    <t>HINOS CUEROS
GALERÍA BAMAC</t>
  </si>
  <si>
    <t>San Martín 1425 local 15</t>
  </si>
  <si>
    <t>San Martín 1425 local 15, Mendoza , Argentina</t>
  </si>
  <si>
    <t>-32,985448;-68,780636;"San Martín 1425 local 15; Mendoza ; Argentina";"San Martín; Departamento Maipú; Mendoza; AR";</t>
  </si>
  <si>
    <t>TIO GUILLE</t>
  </si>
  <si>
    <t>Godoy Cruz 75</t>
  </si>
  <si>
    <t>Godoy Cruz 75 local medio</t>
  </si>
  <si>
    <t>Godoy Cruz 75, Mendoza , Argentina</t>
  </si>
  <si>
    <t>-34,979176;-67,688023;Godoy Cruz 75, Mendoza , Argentina;Godoy Cruz, General Alvear, Distrito Ciudad de General Alvear, Mendoza, AR;</t>
  </si>
  <si>
    <t>LOCAS ARTESANIAS
GALERÍA RUFO</t>
  </si>
  <si>
    <t>San Martín 1672 local 17</t>
  </si>
  <si>
    <t>San Martín 1672 local 17, Mendoza , Argentina</t>
  </si>
  <si>
    <t>39,78373;-100,445882;"San Martín 1672 local 17; Mendoza ; Argentina";US;</t>
  </si>
  <si>
    <t>N8</t>
  </si>
  <si>
    <t>Godoy Cruz 387</t>
  </si>
  <si>
    <t>Godoy Cruz 387, Mendoza , Argentina</t>
  </si>
  <si>
    <t>-34,979176;-67,688023;Godoy Cruz 387, Mendoza , Argentina;Godoy Cruz, General Alvear, Distrito Ciudad de General Alvear, Mendoza, AR;</t>
  </si>
  <si>
    <t>LA GONDOLA
PASAJE SAN MARTÍN</t>
  </si>
  <si>
    <t>San Martín 1136 local 28</t>
  </si>
  <si>
    <t>San Martín 1136 local 28, Mendoza , Argentina</t>
  </si>
  <si>
    <t>-33,052166;-68,557455;"San Martín 1136 local 28; Mendoza ; Argentina";"San Martín; Distrito Palmira; Mendoza; AR";</t>
  </si>
  <si>
    <t>SOPPELSA</t>
  </si>
  <si>
    <t>CAPIBARA RUSTICO ARGENTINO
GALERÍA PIAZZA</t>
  </si>
  <si>
    <t>San Martín 1027 local 39-40</t>
  </si>
  <si>
    <t>San Martín 1027 local 39-40, Mendoza , Argentina</t>
  </si>
  <si>
    <t>-39,78373;-69,445882;"San Martín 1027 local 39-40; Mendoza ; Argentina";US;</t>
  </si>
  <si>
    <t>CHINI</t>
  </si>
  <si>
    <t>España 1492</t>
  </si>
  <si>
    <t>España 1492, Mendoza , Argentina</t>
  </si>
  <si>
    <t>-34,974904;-67,683115;España 1492, Mendoza , Argentina;España, General Alvear, Distrito Ciudad de General Alvear, Mendoza, AR;</t>
  </si>
  <si>
    <t>DOS DE AZUCAR</t>
  </si>
  <si>
    <t>España 1068</t>
  </si>
  <si>
    <t>España 1068 local izquierda</t>
  </si>
  <si>
    <t>España 1068, Mendoza , Argentina</t>
  </si>
  <si>
    <t>-34,974904;-67,683115;España 1068, Mendoza , Argentina;España, General Alvear, Distrito Ciudad de General Alvear, Mendoza, AR;</t>
  </si>
  <si>
    <t>WH INTERNET &amp; GAMES</t>
  </si>
  <si>
    <t>España 1076</t>
  </si>
  <si>
    <t>España 1076 local izquierda</t>
  </si>
  <si>
    <t>España 1076, Mendoza , Argentina</t>
  </si>
  <si>
    <t>-34,974904;-67,683115;España 1076, Mendoza , Argentina;España, General Alvear, Distrito Ciudad de General Alvear, Mendoza, AR;</t>
  </si>
  <si>
    <t>España 1159, Mendoza , Argentina</t>
  </si>
  <si>
    <t>-34,974904;-67,683115;España 1159, Mendoza , Argentina;España, General Alvear, Distrito Ciudad de General Alvear, Mendoza, AR;</t>
  </si>
  <si>
    <t>JOCKEY CLUB</t>
  </si>
  <si>
    <t>España y Espejo</t>
  </si>
  <si>
    <t>España y Espejo , Mendoza , Argentina</t>
  </si>
  <si>
    <t>-32,926624;-68,857841;España y Espejo , Mendoza , Argentina;España, General Espejo, Departamento Godoy Cruz, Mendoza, AR;</t>
  </si>
  <si>
    <t>España 1241, Mendoza , Argentina</t>
  </si>
  <si>
    <t>-34,974904;-67,683115;España 1241, Mendoza , Argentina;España, General Alvear, Distrito Ciudad de General Alvear, Mendoza, AR;</t>
  </si>
  <si>
    <t>LIXEN CAFÉ</t>
  </si>
  <si>
    <t>España 1475</t>
  </si>
  <si>
    <t>España 1475, Mendoza , Argentina</t>
  </si>
  <si>
    <t>-34,974904;-67,683115;España 1475, Mendoza , Argentina;España, General Alvear, Distrito Ciudad de General Alvear, Mendoza, AR;</t>
  </si>
  <si>
    <t>España 1551 local derecha</t>
  </si>
  <si>
    <t>-34,974904;-67,683115;España 1551, Mendoza , Argentina;España, General Alvear, Distrito Ciudad de General Alvear, Mendoza, AR;</t>
  </si>
  <si>
    <t>CHINI
GALERÍA MENDOZA</t>
  </si>
  <si>
    <t>San Martín 1360 local 17</t>
  </si>
  <si>
    <t>San Martín 1360 local 17, Mendoza , Argentina</t>
  </si>
  <si>
    <t>39,78373;-100,445882;San Martín 1360 local 17, Mendoza , Argentina;US;</t>
  </si>
  <si>
    <t>VISTO
GALERÍA TOMSA</t>
  </si>
  <si>
    <t>San Martín 1167 local s40</t>
  </si>
  <si>
    <t>San Martín 1167 local s40, Mendoza , Argentina</t>
  </si>
  <si>
    <t>39,78373;-100,445882;San Martín 1167 local s40, Mendoza , Argentina;US;</t>
  </si>
  <si>
    <t>LEÓN CAFÉ BAR</t>
  </si>
  <si>
    <t>Cafetería</t>
  </si>
  <si>
    <t>Juan B. Justo 469</t>
  </si>
  <si>
    <t>Juan B. Justo 469, Mendoza , Argentina</t>
  </si>
  <si>
    <t>-32,906464;-68,850057;Juan B, Justo 469, Mendoza , Argentina;Juan B, Justo 469, Villa Mercedes, Departamento Godoy Cruz, Mendoza, AR;</t>
  </si>
  <si>
    <t>LA TERRACITA</t>
  </si>
  <si>
    <t>Juan B. Justo 701</t>
  </si>
  <si>
    <t>Juan B. Justo 701, Mendoza , Argentina</t>
  </si>
  <si>
    <t>-33,571657;-69,012587;Juan B, Justo 701, Mendoza , Argentina;Juan B, Justo, Tunuyán, Distrito Ciudad de Tunuyán, Mendoza, AR;</t>
  </si>
  <si>
    <t>NEGRITA</t>
  </si>
  <si>
    <t>Juan B. Justo 190</t>
  </si>
  <si>
    <t>Juan B. Justo 190, Mendoza , Argentina</t>
  </si>
  <si>
    <t>-32,906987;-68,846221;Juan B, Justo 190, Mendoza , Argentina;Juan B, Justo 190, Villa Mercedes, Departamento Godoy Cruz, Mendoza, AR;</t>
  </si>
  <si>
    <t>BAUMAN</t>
  </si>
  <si>
    <t>Juan B. Justo 20</t>
  </si>
  <si>
    <t>Juan B. Justo 20, Mendoza , Argentina</t>
  </si>
  <si>
    <t>-32,907243;-68,844146;Juan B, Justo 20, Mendoza , Argentina;Juan B, Justo 20, Villa Mercedes, Departamento Godoy Cruz, Mendoza, AR;</t>
  </si>
  <si>
    <t>LA CORDILLERA CAFÉ</t>
  </si>
  <si>
    <t>9 de July 0987</t>
  </si>
  <si>
    <t>9 de Julio 987, Mendoza , Argentina</t>
  </si>
  <si>
    <t>-34,972739;-67,68561;9 de Julio 987, Mendoza , Argentina;9 de Julio, General Alvear, Distrito Ciudad de General Alvear, Mendoza, AR;</t>
  </si>
  <si>
    <t>JULIO CAFÉ</t>
  </si>
  <si>
    <t>9 de July 1023</t>
  </si>
  <si>
    <t>9 de Julio 1023, Mendoza , Argentina</t>
  </si>
  <si>
    <t>-34,972739;-67,68561;9 de Julio 1023, Mendoza , Argentina;9 de Julio, General Alvear, Distrito Ciudad de General Alvear, Mendoza, AR;</t>
  </si>
  <si>
    <t>BOCCA</t>
  </si>
  <si>
    <t xml:space="preserve">  Sarmiento 87</t>
  </si>
  <si>
    <t xml:space="preserve"> Sarmiento 87, Mendoza , Argentina</t>
  </si>
  <si>
    <t>-34,983771;-67,69702;Sarmiento 87, Mendoza , Argentina;Sarmiento, General Alvear, Distrito Ciudad de General Alvear, Mendoza, AR;</t>
  </si>
  <si>
    <t>JUAN CEDRON CONFITERÍA PARIS</t>
  </si>
  <si>
    <t xml:space="preserve">  Sarmiento 282</t>
  </si>
  <si>
    <t xml:space="preserve"> Sarmiento 282, Mendoza , Argentina</t>
  </si>
  <si>
    <t>-34,983771;-67,69702;Sarmiento 282, Mendoza , Argentina;Sarmiento, General Alvear, Distrito Ciudad de General Alvear, Mendoza, AR;</t>
  </si>
  <si>
    <t>UNION</t>
  </si>
  <si>
    <t>Av. Sarmiento 777 local derecha</t>
  </si>
  <si>
    <t>SANTA Y PECADOR</t>
  </si>
  <si>
    <t>Av. Sarmiento 716</t>
  </si>
  <si>
    <t>Av. Sarmiento 716, Mendoza , Argentina</t>
  </si>
  <si>
    <t>-34,622812;-68,343625;Av, Sarmiento 716, Mendoza , Argentina;Avenida Sarmiento 716, San Rafael, Distrito Ciudad de San Rafael, Mendoza, AR;</t>
  </si>
  <si>
    <t>LOS INMIGRANTES</t>
  </si>
  <si>
    <t>Av. San Martín 1173</t>
  </si>
  <si>
    <t>Av. San Martín 1173, Mendoza , Argentina</t>
  </si>
  <si>
    <t>-32,882265;-68,837251;Av, San Martín 1173, Mendoza , Argentina;Avenida San Martín, Ciudad de Mendoza, Sección 1ª Parque Central, Mendoza, AR;</t>
  </si>
  <si>
    <t>EL JARDIN</t>
  </si>
  <si>
    <t>Av. Colón 215 local izquierda</t>
  </si>
  <si>
    <t>-32,894025;-68,845681;Av, Colón 215, Mendoza , Argentina;Avenida Colón, Ciudad de Mendoza, Sección 2ª Barrio Cívico, Mendoza, AR;</t>
  </si>
  <si>
    <t>NEU CAFÉ</t>
  </si>
  <si>
    <t>Av. Colón 699</t>
  </si>
  <si>
    <t>Av. Colón 699, Mendoza , Argentina</t>
  </si>
  <si>
    <t>-32,894025;-68,845681;Av, Colón 699, Mendoza , Argentina;Avenida Colón, Ciudad de Mendoza, Sección 2ª Barrio Cívico, Mendoza, AR;</t>
  </si>
  <si>
    <t>CAFÉ-BAR
MADERO</t>
  </si>
  <si>
    <t>Av. Colón 740</t>
  </si>
  <si>
    <t>Av. Colón 740, Mendoza , Argentina</t>
  </si>
  <si>
    <t>Espejo 194, Mendoza , Argentina</t>
  </si>
  <si>
    <t>IPANEMA</t>
  </si>
  <si>
    <t>Godoy Cruz 147</t>
  </si>
  <si>
    <t>Godoy Cruz 147 local medio</t>
  </si>
  <si>
    <t>Godoy Cruz 147, Mendoza , Argentina</t>
  </si>
  <si>
    <t>CAFE KOLTON
GALERÍA KOLTON</t>
  </si>
  <si>
    <t>San Martín 1355 local 12</t>
  </si>
  <si>
    <t>San Martín 1355 local 12, Mendoza , Argentina</t>
  </si>
  <si>
    <t>CAFE BAMAC
GALERÍA BAMAC</t>
  </si>
  <si>
    <t>San Martín 1425 local 38</t>
  </si>
  <si>
    <t>San Martín 1425 local 38, Mendoza , Argentina</t>
  </si>
  <si>
    <t>CAFE TURINI
PASAJE SAN MARTÍN</t>
  </si>
  <si>
    <t>San Martín 1136 local 6</t>
  </si>
  <si>
    <t>San Martín 1136 local 6, Mendoza , Argentina</t>
  </si>
  <si>
    <t>BALCARCE
GALERÍA SAN MARCOS</t>
  </si>
  <si>
    <t>Sarmiento 133 local 19</t>
  </si>
  <si>
    <t>Sarmiento 133 local 19, Mendoza , Argentina</t>
  </si>
  <si>
    <t>CAFE DEL MERCADO
MERCADO CENTRAL</t>
  </si>
  <si>
    <t>Av. Las Heras 279 local 20</t>
  </si>
  <si>
    <t>Av. Las Heras 279 local 20, Mendoza , Argentina</t>
  </si>
  <si>
    <t>CAFETERÍA ELENA
MERCADO CENTRAL</t>
  </si>
  <si>
    <t>Av. Las Heras 279 local 24</t>
  </si>
  <si>
    <t>Av. Las Heras 279 local 24, Mendoza , Argentina</t>
  </si>
  <si>
    <t>CAFE BAR
MERCADO CENTRAL</t>
  </si>
  <si>
    <t>Av. Las Heras 279 local 25</t>
  </si>
  <si>
    <t>Av. Las Heras 279 local 25, Mendoza , Argentina</t>
  </si>
  <si>
    <t>ANNA BISTRÓ</t>
  </si>
  <si>
    <t>Restaurantes</t>
  </si>
  <si>
    <t>Juan B. Justo 161</t>
  </si>
  <si>
    <t>Juan B. Justo 161, Mendoza , Argentina</t>
  </si>
  <si>
    <t>EL ASADITO</t>
  </si>
  <si>
    <t>Juan B. Justo 512</t>
  </si>
  <si>
    <t>Juan B. Justo 512, Mendoza , Argentina</t>
  </si>
  <si>
    <t>VICENTE SIN LOPEZ NI PLANES</t>
  </si>
  <si>
    <t>Juan B. Justo 416</t>
  </si>
  <si>
    <t>Juan B. Justo 416, Mendoza , Argentina</t>
  </si>
  <si>
    <t>THE FACTORY BURGUERS</t>
  </si>
  <si>
    <t>Juan B. Justo 376</t>
  </si>
  <si>
    <t>Juan B. Justo 376, Mendoza , Argentina</t>
  </si>
  <si>
    <t>EL SABOR JUSTO</t>
  </si>
  <si>
    <t>Juan B. Justo 386</t>
  </si>
  <si>
    <t>Juan B. Justo 386, Mendoza , Argentina</t>
  </si>
  <si>
    <t>TORITO</t>
  </si>
  <si>
    <t>Juan B. Justo 234</t>
  </si>
  <si>
    <t>Juan B. Justo 234, Mendoza , Argentina</t>
  </si>
  <si>
    <t>MASCALZONE</t>
  </si>
  <si>
    <t>Juan B. Justo 112</t>
  </si>
  <si>
    <t>Juan B. Justo 112, Mendoza , Argentina</t>
  </si>
  <si>
    <t>TRATORÍA MAMMA MÍA</t>
  </si>
  <si>
    <t>Juan B. Justo 176</t>
  </si>
  <si>
    <t>Juan B. Justo 176, Mendoza , Argentina</t>
  </si>
  <si>
    <t xml:space="preserve">  Sarmiento 11</t>
  </si>
  <si>
    <t xml:space="preserve"> Sarmiento 11, Mendoza , Argentina</t>
  </si>
  <si>
    <t>LOS INMIGRANTES
GALERÍA TOMSA</t>
  </si>
  <si>
    <t>San Martín 1167 local 2</t>
  </si>
  <si>
    <t>San Martín 1167 local 2, Mendoza , Argentina</t>
  </si>
  <si>
    <t>ROXI
MERCADO CENTRAL</t>
  </si>
  <si>
    <t>Av. Las Heras 279 local 2</t>
  </si>
  <si>
    <t>Av. Las Heras 279 local 2, Mendoza , Argentina</t>
  </si>
  <si>
    <t>PARRILLA DEL MERCADO CENTRAL
MERCADO CENTRAL</t>
  </si>
  <si>
    <t>Av. Las Heras 279 local 15</t>
  </si>
  <si>
    <t>Av. Las Heras 279 local 15, Mendoza , Argentina</t>
  </si>
  <si>
    <t>LAS PASTAS DEL MERCADO
MERCADO CENTRAL</t>
  </si>
  <si>
    <t>Av. Las Heras 279 local 18</t>
  </si>
  <si>
    <t>Av. Las Heras 279 local 18, Mendoza , Argentina</t>
  </si>
  <si>
    <t>HARRY'S
MERCADO CENTRAL</t>
  </si>
  <si>
    <t>Av. Las Heras 279 local 19</t>
  </si>
  <si>
    <t>Av. Las Heras 279 local 19, Mendoza , Argentina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</si>
</sst>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 de &quot;mmmm yyyy"/>
  </numFmts>
  <fonts count="3">
    <font>
      <sz val="10.0"/>
      <color rgb="FF000000"/>
      <name val="Arial"/>
    </font>
    <font/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almundo.com" TargetMode="External"/><Relationship Id="rId2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5.0</v>
      </c>
      <c r="B2" s="1" t="s">
        <v>12</v>
      </c>
      <c r="C2" s="1">
        <v>1.0</v>
      </c>
      <c r="D2" s="1" t="s">
        <v>13</v>
      </c>
      <c r="E2" s="1" t="s">
        <v>15</v>
      </c>
      <c r="F2" s="1" t="s">
        <v>17</v>
      </c>
      <c r="G2" s="1" t="s">
        <v>19</v>
      </c>
      <c r="H2" s="1" t="s">
        <v>19</v>
      </c>
      <c r="I2" s="1" t="s">
        <v>21</v>
      </c>
      <c r="J2" s="1" t="s">
        <v>22</v>
      </c>
      <c r="K2" s="2">
        <v>-68.8498529</v>
      </c>
      <c r="L2" s="2">
        <v>-32.8838161</v>
      </c>
    </row>
    <row r="3">
      <c r="A3" s="1">
        <v>87.0</v>
      </c>
      <c r="B3" s="1" t="s">
        <v>12</v>
      </c>
      <c r="C3" s="1">
        <v>16.0</v>
      </c>
      <c r="D3" s="1" t="s">
        <v>25</v>
      </c>
      <c r="E3" s="1" t="s">
        <v>15</v>
      </c>
      <c r="F3" s="1" t="s">
        <v>17</v>
      </c>
      <c r="G3" s="1" t="s">
        <v>26</v>
      </c>
      <c r="H3" s="1" t="s">
        <v>26</v>
      </c>
      <c r="I3" s="1" t="s">
        <v>21</v>
      </c>
      <c r="J3" s="1" t="s">
        <v>28</v>
      </c>
      <c r="K3" s="2">
        <v>-68.8499269</v>
      </c>
      <c r="L3" s="2">
        <v>-32.884336</v>
      </c>
    </row>
    <row r="4">
      <c r="A4" s="1">
        <v>233.0</v>
      </c>
      <c r="B4" s="1" t="s">
        <v>29</v>
      </c>
      <c r="C4" s="1">
        <v>14.0</v>
      </c>
      <c r="D4" s="1" t="s">
        <v>25</v>
      </c>
      <c r="E4" s="1" t="s">
        <v>15</v>
      </c>
      <c r="F4" s="1" t="s">
        <v>17</v>
      </c>
      <c r="G4" s="3" t="s">
        <v>34</v>
      </c>
      <c r="H4" s="3" t="s">
        <v>34</v>
      </c>
      <c r="I4" s="1" t="s">
        <v>21</v>
      </c>
      <c r="J4" s="1" t="s">
        <v>46</v>
      </c>
      <c r="K4" s="2">
        <v>-68.839392</v>
      </c>
      <c r="L4" s="2">
        <v>-32.8865539</v>
      </c>
    </row>
    <row r="5">
      <c r="A5" s="1">
        <v>265.0</v>
      </c>
      <c r="B5" s="1" t="s">
        <v>51</v>
      </c>
      <c r="C5" s="1">
        <v>1.0</v>
      </c>
      <c r="D5" s="1" t="s">
        <v>53</v>
      </c>
      <c r="E5" s="1" t="s">
        <v>15</v>
      </c>
      <c r="F5" s="1" t="s">
        <v>17</v>
      </c>
      <c r="G5" s="1" t="s">
        <v>56</v>
      </c>
      <c r="H5" s="1" t="s">
        <v>56</v>
      </c>
      <c r="I5" s="1" t="s">
        <v>21</v>
      </c>
      <c r="J5" s="1" t="s">
        <v>59</v>
      </c>
      <c r="K5" s="2">
        <v>-68.84000449999999</v>
      </c>
      <c r="L5" s="2">
        <v>-32.890499</v>
      </c>
    </row>
    <row r="6">
      <c r="A6" s="1">
        <v>277.0</v>
      </c>
      <c r="B6" s="1" t="s">
        <v>51</v>
      </c>
      <c r="C6" s="1">
        <v>1.0</v>
      </c>
      <c r="D6" s="1" t="s">
        <v>64</v>
      </c>
      <c r="E6" s="1" t="s">
        <v>15</v>
      </c>
      <c r="F6" s="1" t="s">
        <v>17</v>
      </c>
      <c r="G6" s="1" t="s">
        <v>67</v>
      </c>
      <c r="H6" s="1" t="s">
        <v>67</v>
      </c>
      <c r="I6" s="1" t="s">
        <v>21</v>
      </c>
      <c r="J6" s="1" t="s">
        <v>71</v>
      </c>
      <c r="K6" s="2">
        <v>-68.84000449999999</v>
      </c>
      <c r="L6" s="2">
        <v>-32.890499</v>
      </c>
    </row>
    <row r="7">
      <c r="A7" s="1">
        <v>435.0</v>
      </c>
      <c r="B7" s="1" t="s">
        <v>24</v>
      </c>
      <c r="C7" s="1">
        <v>10.0</v>
      </c>
      <c r="D7" s="1" t="s">
        <v>25</v>
      </c>
      <c r="E7" s="1" t="s">
        <v>15</v>
      </c>
      <c r="F7" s="1" t="s">
        <v>17</v>
      </c>
      <c r="G7" s="1" t="s">
        <v>78</v>
      </c>
      <c r="H7" s="1" t="s">
        <v>78</v>
      </c>
      <c r="I7" s="1" t="s">
        <v>21</v>
      </c>
      <c r="J7" s="1" t="s">
        <v>81</v>
      </c>
      <c r="K7" s="2">
        <v>-68.8588366</v>
      </c>
      <c r="L7" s="2">
        <v>-32.891641</v>
      </c>
    </row>
    <row r="8">
      <c r="A8" s="1">
        <v>448.0</v>
      </c>
      <c r="B8" s="1" t="s">
        <v>24</v>
      </c>
      <c r="C8" s="1">
        <v>11.0</v>
      </c>
      <c r="D8" s="1" t="s">
        <v>86</v>
      </c>
      <c r="E8" s="1" t="s">
        <v>15</v>
      </c>
      <c r="F8" s="1" t="s">
        <v>17</v>
      </c>
      <c r="G8" s="1" t="s">
        <v>88</v>
      </c>
      <c r="H8" s="1" t="s">
        <v>90</v>
      </c>
      <c r="I8" s="1" t="s">
        <v>21</v>
      </c>
      <c r="J8" s="1" t="s">
        <v>92</v>
      </c>
      <c r="K8" s="2">
        <v>-68.8558875</v>
      </c>
      <c r="L8" s="2">
        <v>-32.8922946</v>
      </c>
    </row>
    <row r="9">
      <c r="A9" s="1">
        <v>467.0</v>
      </c>
      <c r="B9" s="1" t="s">
        <v>24</v>
      </c>
      <c r="C9" s="1">
        <v>12.0</v>
      </c>
      <c r="D9" s="1" t="s">
        <v>96</v>
      </c>
      <c r="E9" s="1" t="s">
        <v>15</v>
      </c>
      <c r="F9" s="1" t="s">
        <v>17</v>
      </c>
      <c r="G9" s="1" t="s">
        <v>101</v>
      </c>
      <c r="H9" s="1" t="s">
        <v>102</v>
      </c>
      <c r="I9" s="1" t="s">
        <v>21</v>
      </c>
      <c r="J9" s="1" t="s">
        <v>104</v>
      </c>
      <c r="K9" s="2">
        <v>-68.85321739999999</v>
      </c>
      <c r="L9" s="2">
        <v>-32.8927552</v>
      </c>
    </row>
    <row r="10">
      <c r="B10" s="1" t="s">
        <v>109</v>
      </c>
      <c r="C10" s="1">
        <v>1.0</v>
      </c>
      <c r="D10" s="1" t="s">
        <v>111</v>
      </c>
      <c r="E10" s="1" t="s">
        <v>15</v>
      </c>
      <c r="F10" s="1" t="s">
        <v>17</v>
      </c>
      <c r="G10" s="1" t="s">
        <v>112</v>
      </c>
      <c r="H10" s="1" t="s">
        <v>112</v>
      </c>
      <c r="I10" s="1" t="s">
        <v>21</v>
      </c>
      <c r="J10" s="1" t="s">
        <v>115</v>
      </c>
      <c r="K10" s="2">
        <v>-68.8457991</v>
      </c>
      <c r="L10" s="2">
        <v>-32.9153082</v>
      </c>
    </row>
    <row r="11">
      <c r="A11" s="1">
        <v>575.0</v>
      </c>
      <c r="B11" s="1" t="s">
        <v>109</v>
      </c>
      <c r="C11" s="1">
        <v>9.0</v>
      </c>
      <c r="D11" s="1" t="s">
        <v>121</v>
      </c>
      <c r="E11" s="1" t="s">
        <v>15</v>
      </c>
      <c r="F11" s="1" t="s">
        <v>17</v>
      </c>
      <c r="G11" s="1" t="s">
        <v>123</v>
      </c>
      <c r="H11" s="1" t="s">
        <v>124</v>
      </c>
      <c r="I11" s="1" t="s">
        <v>21</v>
      </c>
      <c r="J11" s="1" t="s">
        <v>127</v>
      </c>
      <c r="K11" s="2">
        <v>-68.83823699999999</v>
      </c>
      <c r="L11" s="2">
        <v>-32.885438</v>
      </c>
    </row>
    <row r="12">
      <c r="A12" s="1">
        <v>650.0</v>
      </c>
      <c r="B12" s="1" t="s">
        <v>109</v>
      </c>
      <c r="C12" s="1">
        <v>15.0</v>
      </c>
      <c r="D12" s="1" t="s">
        <v>13</v>
      </c>
      <c r="E12" s="1" t="s">
        <v>15</v>
      </c>
      <c r="F12" s="1" t="s">
        <v>17</v>
      </c>
      <c r="G12" s="1" t="s">
        <v>135</v>
      </c>
      <c r="H12" s="1" t="s">
        <v>136</v>
      </c>
      <c r="I12" s="1" t="s">
        <v>21</v>
      </c>
      <c r="J12" s="1" t="s">
        <v>139</v>
      </c>
      <c r="K12" s="2">
        <v>-68.8399149</v>
      </c>
      <c r="L12" s="2">
        <v>-32.892237</v>
      </c>
    </row>
    <row r="13">
      <c r="A13" s="1">
        <v>666.0</v>
      </c>
      <c r="B13" s="1" t="s">
        <v>36</v>
      </c>
      <c r="C13" s="1">
        <v>1.0</v>
      </c>
      <c r="D13" s="1" t="s">
        <v>13</v>
      </c>
      <c r="E13" s="1" t="s">
        <v>15</v>
      </c>
      <c r="F13" s="1" t="s">
        <v>17</v>
      </c>
      <c r="G13" s="1" t="s">
        <v>145</v>
      </c>
      <c r="H13" s="1" t="s">
        <v>145</v>
      </c>
      <c r="I13" s="1" t="s">
        <v>21</v>
      </c>
      <c r="J13" s="1" t="s">
        <v>147</v>
      </c>
      <c r="K13" s="2">
        <v>-68.837468</v>
      </c>
      <c r="L13" s="2">
        <v>-32.884032</v>
      </c>
    </row>
    <row r="14">
      <c r="A14" s="1">
        <v>682.0</v>
      </c>
      <c r="B14" s="1" t="s">
        <v>36</v>
      </c>
      <c r="C14" s="1">
        <v>3.0</v>
      </c>
      <c r="D14" s="1" t="s">
        <v>152</v>
      </c>
      <c r="E14" s="1" t="s">
        <v>15</v>
      </c>
      <c r="F14" s="1" t="s">
        <v>17</v>
      </c>
      <c r="G14" s="1" t="s">
        <v>157</v>
      </c>
      <c r="H14" s="1" t="s">
        <v>157</v>
      </c>
      <c r="I14" s="1" t="s">
        <v>21</v>
      </c>
      <c r="J14" s="1" t="s">
        <v>161</v>
      </c>
      <c r="K14" s="2">
        <v>-68.8369663</v>
      </c>
      <c r="L14" s="2">
        <v>-32.8812497</v>
      </c>
    </row>
    <row r="15">
      <c r="A15" s="1">
        <v>693.0</v>
      </c>
      <c r="B15" s="1" t="s">
        <v>36</v>
      </c>
      <c r="C15" s="1">
        <v>4.0</v>
      </c>
      <c r="D15" s="1" t="s">
        <v>13</v>
      </c>
      <c r="E15" s="1" t="s">
        <v>15</v>
      </c>
      <c r="F15" s="1" t="s">
        <v>17</v>
      </c>
      <c r="G15" s="1" t="s">
        <v>165</v>
      </c>
      <c r="H15" s="1" t="s">
        <v>165</v>
      </c>
      <c r="I15" s="1" t="s">
        <v>21</v>
      </c>
      <c r="J15" s="1" t="s">
        <v>167</v>
      </c>
      <c r="K15" s="2">
        <v>-68.8366368</v>
      </c>
      <c r="L15" s="2">
        <v>-32.8800429</v>
      </c>
    </row>
    <row r="16">
      <c r="A16" s="1">
        <v>717.0</v>
      </c>
      <c r="B16" s="1" t="s">
        <v>36</v>
      </c>
      <c r="C16" s="1">
        <v>8.0</v>
      </c>
      <c r="D16" s="1" t="s">
        <v>25</v>
      </c>
      <c r="E16" s="1" t="s">
        <v>15</v>
      </c>
      <c r="F16" s="1" t="s">
        <v>17</v>
      </c>
      <c r="G16" s="1" t="s">
        <v>171</v>
      </c>
      <c r="H16" s="1" t="s">
        <v>171</v>
      </c>
      <c r="I16" s="1" t="s">
        <v>21</v>
      </c>
      <c r="J16" s="1" t="s">
        <v>174</v>
      </c>
      <c r="K16" s="2">
        <v>-68.8350907</v>
      </c>
      <c r="L16" s="2">
        <v>-32.8753091</v>
      </c>
    </row>
    <row r="17">
      <c r="A17" s="1">
        <v>738.0</v>
      </c>
      <c r="B17" s="1" t="s">
        <v>36</v>
      </c>
      <c r="C17" s="1">
        <v>10.0</v>
      </c>
      <c r="D17" s="1" t="s">
        <v>177</v>
      </c>
      <c r="E17" s="1" t="s">
        <v>15</v>
      </c>
      <c r="F17" s="1" t="s">
        <v>17</v>
      </c>
      <c r="G17" s="1" t="s">
        <v>181</v>
      </c>
      <c r="H17" s="1" t="s">
        <v>181</v>
      </c>
      <c r="I17" s="1" t="s">
        <v>21</v>
      </c>
      <c r="J17" s="1" t="s">
        <v>183</v>
      </c>
      <c r="K17" s="2">
        <v>-68.8359519</v>
      </c>
      <c r="L17" s="2">
        <v>-32.876593</v>
      </c>
    </row>
    <row r="18">
      <c r="A18" s="1">
        <v>756.0</v>
      </c>
      <c r="B18" s="1" t="s">
        <v>36</v>
      </c>
      <c r="C18" s="1">
        <v>13.0</v>
      </c>
      <c r="D18" s="1" t="s">
        <v>188</v>
      </c>
      <c r="E18" s="1" t="s">
        <v>15</v>
      </c>
      <c r="F18" s="1" t="s">
        <v>17</v>
      </c>
      <c r="G18" s="1" t="s">
        <v>189</v>
      </c>
      <c r="H18" s="1" t="s">
        <v>189</v>
      </c>
      <c r="I18" s="1" t="s">
        <v>21</v>
      </c>
      <c r="J18" s="1" t="s">
        <v>192</v>
      </c>
      <c r="K18" s="2">
        <v>-68.8373862</v>
      </c>
      <c r="L18" s="2">
        <v>-32.8820402</v>
      </c>
    </row>
    <row r="19">
      <c r="A19" s="1">
        <v>794.0</v>
      </c>
      <c r="B19" s="1" t="s">
        <v>55</v>
      </c>
      <c r="C19" s="1">
        <v>1.0</v>
      </c>
      <c r="D19" s="1" t="s">
        <v>195</v>
      </c>
      <c r="E19" s="1" t="s">
        <v>15</v>
      </c>
      <c r="F19" s="1" t="s">
        <v>17</v>
      </c>
      <c r="G19" s="1" t="s">
        <v>198</v>
      </c>
      <c r="H19" s="1" t="s">
        <v>199</v>
      </c>
      <c r="I19" s="1" t="s">
        <v>21</v>
      </c>
      <c r="J19" s="1" t="s">
        <v>201</v>
      </c>
      <c r="K19" s="2">
        <v>-68.839017</v>
      </c>
      <c r="L19" s="2">
        <v>-32.885998</v>
      </c>
    </row>
    <row r="20">
      <c r="A20" s="1">
        <v>1121.0</v>
      </c>
      <c r="B20" s="1" t="s">
        <v>120</v>
      </c>
      <c r="C20" s="1">
        <v>2.0</v>
      </c>
      <c r="D20" s="1" t="s">
        <v>205</v>
      </c>
      <c r="E20" s="1" t="s">
        <v>15</v>
      </c>
      <c r="F20" s="1" t="s">
        <v>17</v>
      </c>
      <c r="G20" s="1" t="s">
        <v>212</v>
      </c>
      <c r="H20" s="1" t="s">
        <v>212</v>
      </c>
      <c r="I20" s="1" t="s">
        <v>21</v>
      </c>
      <c r="J20" s="1" t="s">
        <v>214</v>
      </c>
      <c r="K20" s="2">
        <v>-68.8407955</v>
      </c>
      <c r="L20" s="2">
        <v>-32.8890911</v>
      </c>
    </row>
    <row r="21">
      <c r="A21" s="1">
        <v>1151.0</v>
      </c>
      <c r="B21" s="1" t="s">
        <v>120</v>
      </c>
      <c r="C21" s="1">
        <v>4.0</v>
      </c>
      <c r="D21" s="1" t="s">
        <v>219</v>
      </c>
      <c r="E21" s="1" t="s">
        <v>15</v>
      </c>
      <c r="F21" s="1" t="s">
        <v>17</v>
      </c>
      <c r="G21" s="1" t="s">
        <v>221</v>
      </c>
      <c r="H21" s="1" t="s">
        <v>221</v>
      </c>
      <c r="I21" s="1" t="s">
        <v>21</v>
      </c>
      <c r="J21" s="1" t="s">
        <v>223</v>
      </c>
      <c r="K21" s="2">
        <v>-68.8419357</v>
      </c>
      <c r="L21" s="2">
        <v>-32.8891499</v>
      </c>
    </row>
    <row r="22">
      <c r="A22" s="1">
        <v>1188.0</v>
      </c>
      <c r="B22" s="1" t="s">
        <v>227</v>
      </c>
      <c r="C22" s="1">
        <v>1.0</v>
      </c>
      <c r="D22" s="1" t="s">
        <v>229</v>
      </c>
      <c r="E22" s="1" t="s">
        <v>15</v>
      </c>
      <c r="F22" s="1" t="s">
        <v>17</v>
      </c>
      <c r="G22" s="1" t="s">
        <v>231</v>
      </c>
      <c r="H22" s="1" t="s">
        <v>232</v>
      </c>
      <c r="I22" s="1" t="s">
        <v>21</v>
      </c>
      <c r="J22" s="1" t="s">
        <v>234</v>
      </c>
      <c r="K22" s="2">
        <v>-68.8385576</v>
      </c>
      <c r="L22" s="2">
        <v>-32.8837648</v>
      </c>
    </row>
    <row r="23">
      <c r="A23" s="1">
        <v>1247.0</v>
      </c>
      <c r="B23" s="1" t="s">
        <v>227</v>
      </c>
      <c r="C23" s="1">
        <v>10.0</v>
      </c>
      <c r="D23" s="1" t="s">
        <v>239</v>
      </c>
      <c r="E23" s="1" t="s">
        <v>15</v>
      </c>
      <c r="F23" s="1" t="s">
        <v>17</v>
      </c>
      <c r="G23" s="1" t="s">
        <v>240</v>
      </c>
      <c r="H23" s="1" t="s">
        <v>240</v>
      </c>
      <c r="I23" s="1" t="s">
        <v>21</v>
      </c>
      <c r="J23" s="1" t="s">
        <v>243</v>
      </c>
      <c r="K23" s="2">
        <v>-68.8380518</v>
      </c>
      <c r="L23" s="2">
        <v>-32.8841912</v>
      </c>
    </row>
    <row r="24">
      <c r="A24" s="1">
        <v>1273.0</v>
      </c>
      <c r="B24" s="1" t="s">
        <v>248</v>
      </c>
      <c r="C24" s="1">
        <v>6.0</v>
      </c>
      <c r="D24" s="1" t="s">
        <v>250</v>
      </c>
      <c r="E24" s="1" t="s">
        <v>15</v>
      </c>
      <c r="F24" s="1" t="s">
        <v>17</v>
      </c>
      <c r="G24" s="1" t="s">
        <v>252</v>
      </c>
      <c r="H24" s="1" t="s">
        <v>252</v>
      </c>
      <c r="I24" s="1" t="s">
        <v>21</v>
      </c>
      <c r="J24" s="1" t="s">
        <v>254</v>
      </c>
      <c r="K24" s="2">
        <v>-68.8458386</v>
      </c>
      <c r="L24" s="2">
        <v>-32.8894587</v>
      </c>
    </row>
    <row r="25">
      <c r="A25" s="1">
        <v>8.0</v>
      </c>
      <c r="B25" s="1" t="s">
        <v>12</v>
      </c>
      <c r="C25" s="1">
        <v>2.0</v>
      </c>
      <c r="D25" s="1" t="s">
        <v>259</v>
      </c>
      <c r="E25" s="1" t="s">
        <v>15</v>
      </c>
      <c r="F25" s="1" t="s">
        <v>261</v>
      </c>
      <c r="G25" s="1" t="s">
        <v>262</v>
      </c>
      <c r="H25" s="1" t="s">
        <v>262</v>
      </c>
      <c r="I25" s="1" t="s">
        <v>21</v>
      </c>
      <c r="J25" s="1" t="s">
        <v>263</v>
      </c>
      <c r="K25" s="2">
        <v>-68.850773</v>
      </c>
      <c r="L25" s="2">
        <v>-32.8838325</v>
      </c>
    </row>
    <row r="26">
      <c r="A26" s="1">
        <v>14.0</v>
      </c>
      <c r="B26" s="1" t="s">
        <v>12</v>
      </c>
      <c r="C26" s="1">
        <v>3.0</v>
      </c>
      <c r="D26" s="1" t="s">
        <v>270</v>
      </c>
      <c r="E26" s="1" t="s">
        <v>15</v>
      </c>
      <c r="F26" s="1" t="s">
        <v>261</v>
      </c>
      <c r="G26" s="1" t="s">
        <v>271</v>
      </c>
      <c r="H26" s="1" t="s">
        <v>271</v>
      </c>
      <c r="I26" s="1" t="s">
        <v>21</v>
      </c>
      <c r="J26" s="1" t="s">
        <v>272</v>
      </c>
      <c r="K26" s="2">
        <v>-68.852203</v>
      </c>
      <c r="L26" s="2">
        <v>-32.883707</v>
      </c>
    </row>
    <row r="27">
      <c r="A27" s="1">
        <v>18.0</v>
      </c>
      <c r="B27" s="1" t="s">
        <v>12</v>
      </c>
      <c r="C27" s="1">
        <v>4.0</v>
      </c>
      <c r="D27" s="1" t="s">
        <v>277</v>
      </c>
      <c r="E27" s="1" t="s">
        <v>15</v>
      </c>
      <c r="F27" s="1" t="s">
        <v>261</v>
      </c>
      <c r="G27" s="1" t="s">
        <v>278</v>
      </c>
      <c r="H27" s="1" t="s">
        <v>278</v>
      </c>
      <c r="I27" s="1" t="s">
        <v>21</v>
      </c>
      <c r="J27" s="1" t="s">
        <v>279</v>
      </c>
      <c r="K27" s="2">
        <v>-68.8536328</v>
      </c>
      <c r="L27" s="2">
        <v>-32.8837027</v>
      </c>
    </row>
    <row r="28">
      <c r="A28" s="1">
        <v>20.0</v>
      </c>
      <c r="B28" s="1" t="s">
        <v>12</v>
      </c>
      <c r="C28" s="1">
        <v>5.0</v>
      </c>
      <c r="D28" s="1" t="s">
        <v>283</v>
      </c>
      <c r="E28" s="1" t="s">
        <v>15</v>
      </c>
      <c r="F28" s="1" t="s">
        <v>261</v>
      </c>
      <c r="G28" s="1" t="s">
        <v>284</v>
      </c>
      <c r="H28" s="1" t="s">
        <v>284</v>
      </c>
      <c r="I28" s="1" t="s">
        <v>21</v>
      </c>
      <c r="J28" s="1" t="s">
        <v>285</v>
      </c>
      <c r="K28" s="2">
        <v>-68.85523669999999</v>
      </c>
      <c r="L28" s="2">
        <v>-32.8836</v>
      </c>
    </row>
    <row r="29">
      <c r="A29" s="1">
        <v>25.0</v>
      </c>
      <c r="B29" s="1" t="s">
        <v>12</v>
      </c>
      <c r="C29" s="1">
        <v>5.0</v>
      </c>
      <c r="D29" s="1" t="s">
        <v>289</v>
      </c>
      <c r="E29" s="1" t="s">
        <v>15</v>
      </c>
      <c r="F29" s="1" t="s">
        <v>261</v>
      </c>
      <c r="G29" s="1" t="s">
        <v>291</v>
      </c>
      <c r="H29" s="1" t="s">
        <v>291</v>
      </c>
      <c r="I29" s="1" t="s">
        <v>21</v>
      </c>
      <c r="J29" s="1" t="s">
        <v>294</v>
      </c>
      <c r="K29" s="2">
        <v>-68.8558853</v>
      </c>
      <c r="L29" s="2">
        <v>-32.8835754</v>
      </c>
    </row>
    <row r="30">
      <c r="A30" s="1">
        <v>35.0</v>
      </c>
      <c r="B30" s="1" t="s">
        <v>12</v>
      </c>
      <c r="C30" s="1">
        <v>8.0</v>
      </c>
      <c r="D30" s="1" t="s">
        <v>298</v>
      </c>
      <c r="E30" s="1" t="s">
        <v>15</v>
      </c>
      <c r="F30" s="1" t="s">
        <v>261</v>
      </c>
      <c r="G30" s="1" t="s">
        <v>300</v>
      </c>
      <c r="H30" s="1" t="s">
        <v>300</v>
      </c>
      <c r="I30" s="1" t="s">
        <v>21</v>
      </c>
      <c r="J30" s="1" t="s">
        <v>303</v>
      </c>
      <c r="K30" s="2">
        <v>-68.85995799999999</v>
      </c>
      <c r="L30" s="2">
        <v>-32.883612</v>
      </c>
    </row>
    <row r="31">
      <c r="A31" s="1">
        <v>43.0</v>
      </c>
      <c r="B31" s="1" t="s">
        <v>12</v>
      </c>
      <c r="C31" s="1">
        <v>8.0</v>
      </c>
      <c r="D31" s="1" t="s">
        <v>307</v>
      </c>
      <c r="E31" s="1" t="s">
        <v>15</v>
      </c>
      <c r="F31" s="1" t="s">
        <v>261</v>
      </c>
      <c r="G31" s="1" t="s">
        <v>312</v>
      </c>
      <c r="H31" s="1" t="s">
        <v>312</v>
      </c>
      <c r="I31" s="1" t="s">
        <v>21</v>
      </c>
      <c r="J31" s="1" t="s">
        <v>314</v>
      </c>
      <c r="K31" s="2">
        <v>-68.8590069</v>
      </c>
      <c r="L31" s="2">
        <v>-32.883738</v>
      </c>
    </row>
    <row r="32">
      <c r="A32" s="1">
        <v>53.0</v>
      </c>
      <c r="B32" s="1" t="s">
        <v>12</v>
      </c>
      <c r="C32" s="1">
        <v>10.0</v>
      </c>
      <c r="D32" s="1" t="s">
        <v>318</v>
      </c>
      <c r="E32" s="1" t="s">
        <v>15</v>
      </c>
      <c r="F32" s="1" t="s">
        <v>261</v>
      </c>
      <c r="G32" s="1" t="s">
        <v>321</v>
      </c>
      <c r="H32" s="1" t="s">
        <v>321</v>
      </c>
      <c r="I32" s="1" t="s">
        <v>21</v>
      </c>
      <c r="J32" s="1" t="s">
        <v>323</v>
      </c>
      <c r="K32" s="2">
        <v>-68.858504</v>
      </c>
      <c r="L32" s="2">
        <v>-32.88378</v>
      </c>
    </row>
    <row r="33">
      <c r="A33" s="1">
        <v>56.0</v>
      </c>
      <c r="B33" s="1" t="s">
        <v>12</v>
      </c>
      <c r="C33" s="1">
        <v>11.0</v>
      </c>
      <c r="D33" s="1" t="s">
        <v>327</v>
      </c>
      <c r="E33" s="1" t="s">
        <v>15</v>
      </c>
      <c r="F33" s="1" t="s">
        <v>261</v>
      </c>
      <c r="G33" s="1" t="s">
        <v>330</v>
      </c>
      <c r="H33" s="1" t="s">
        <v>330</v>
      </c>
      <c r="I33" s="1" t="s">
        <v>21</v>
      </c>
      <c r="J33" s="1" t="s">
        <v>331</v>
      </c>
      <c r="K33" s="2">
        <v>-68.8572367</v>
      </c>
      <c r="L33" s="2">
        <v>-32.88383719999999</v>
      </c>
    </row>
    <row r="34">
      <c r="A34" s="1">
        <v>57.0</v>
      </c>
      <c r="B34" s="1" t="s">
        <v>12</v>
      </c>
      <c r="C34" s="1">
        <v>12.0</v>
      </c>
      <c r="D34" s="1" t="s">
        <v>335</v>
      </c>
      <c r="E34" s="1" t="s">
        <v>15</v>
      </c>
      <c r="F34" s="1" t="s">
        <v>261</v>
      </c>
      <c r="G34" s="1" t="s">
        <v>338</v>
      </c>
      <c r="H34" s="1" t="s">
        <v>338</v>
      </c>
      <c r="I34" s="1" t="s">
        <v>21</v>
      </c>
      <c r="J34" s="1" t="s">
        <v>339</v>
      </c>
      <c r="K34" s="2">
        <v>-68.855997</v>
      </c>
      <c r="L34" s="2">
        <v>-32.883877</v>
      </c>
    </row>
    <row r="35">
      <c r="A35" s="1">
        <v>60.0</v>
      </c>
      <c r="B35" s="1" t="s">
        <v>12</v>
      </c>
      <c r="C35" s="1">
        <v>12.0</v>
      </c>
      <c r="D35" s="1" t="s">
        <v>347</v>
      </c>
      <c r="E35" s="1" t="s">
        <v>15</v>
      </c>
      <c r="F35" s="1" t="s">
        <v>261</v>
      </c>
      <c r="G35" s="1" t="s">
        <v>351</v>
      </c>
      <c r="H35" s="1" t="s">
        <v>351</v>
      </c>
      <c r="I35" s="1" t="s">
        <v>21</v>
      </c>
      <c r="J35" s="1" t="s">
        <v>354</v>
      </c>
      <c r="K35" s="2">
        <v>-68.8550083</v>
      </c>
      <c r="L35" s="2">
        <v>-32.8839412</v>
      </c>
    </row>
    <row r="36">
      <c r="A36" s="1">
        <v>61.0</v>
      </c>
      <c r="B36" s="1" t="s">
        <v>12</v>
      </c>
      <c r="C36" s="1">
        <v>12.0</v>
      </c>
      <c r="D36" s="1" t="s">
        <v>358</v>
      </c>
      <c r="E36" s="1" t="s">
        <v>15</v>
      </c>
      <c r="F36" s="1" t="s">
        <v>261</v>
      </c>
      <c r="G36" s="1" t="s">
        <v>360</v>
      </c>
      <c r="H36" s="1" t="s">
        <v>360</v>
      </c>
      <c r="I36" s="1" t="s">
        <v>21</v>
      </c>
      <c r="J36" s="1" t="s">
        <v>362</v>
      </c>
      <c r="K36" s="2">
        <v>-68.8550973</v>
      </c>
      <c r="L36" s="2">
        <v>-32.8839823</v>
      </c>
    </row>
    <row r="37">
      <c r="A37" s="1">
        <v>63.0</v>
      </c>
      <c r="B37" s="1" t="s">
        <v>12</v>
      </c>
      <c r="C37" s="1">
        <v>12.0</v>
      </c>
      <c r="D37" s="1" t="s">
        <v>365</v>
      </c>
      <c r="E37" s="1" t="s">
        <v>15</v>
      </c>
      <c r="F37" s="1" t="s">
        <v>261</v>
      </c>
      <c r="G37" s="1" t="s">
        <v>366</v>
      </c>
      <c r="H37" s="1" t="s">
        <v>366</v>
      </c>
      <c r="I37" s="1" t="s">
        <v>21</v>
      </c>
      <c r="J37" s="1" t="s">
        <v>367</v>
      </c>
      <c r="K37" s="2">
        <v>-68.855863</v>
      </c>
      <c r="L37" s="2">
        <v>-32.88387</v>
      </c>
    </row>
    <row r="38">
      <c r="A38" s="1">
        <v>77.0</v>
      </c>
      <c r="B38" s="1" t="s">
        <v>12</v>
      </c>
      <c r="C38" s="1">
        <v>15.0</v>
      </c>
      <c r="D38" s="1" t="s">
        <v>371</v>
      </c>
      <c r="E38" s="1" t="s">
        <v>15</v>
      </c>
      <c r="F38" s="1" t="s">
        <v>261</v>
      </c>
      <c r="G38" s="1" t="s">
        <v>373</v>
      </c>
      <c r="H38" s="1" t="s">
        <v>373</v>
      </c>
      <c r="I38" s="1" t="s">
        <v>21</v>
      </c>
      <c r="J38" s="1" t="s">
        <v>376</v>
      </c>
      <c r="K38" s="2">
        <v>-68.850944</v>
      </c>
      <c r="L38" s="2">
        <v>-32.8841915</v>
      </c>
    </row>
    <row r="39">
      <c r="A39" s="1">
        <v>79.0</v>
      </c>
      <c r="B39" s="1" t="s">
        <v>12</v>
      </c>
      <c r="C39" s="1">
        <v>15.0</v>
      </c>
      <c r="D39" s="1" t="s">
        <v>380</v>
      </c>
      <c r="E39" s="1" t="s">
        <v>15</v>
      </c>
      <c r="F39" s="1" t="s">
        <v>261</v>
      </c>
      <c r="G39" s="1" t="s">
        <v>383</v>
      </c>
      <c r="H39" s="1" t="s">
        <v>383</v>
      </c>
      <c r="I39" s="1" t="s">
        <v>21</v>
      </c>
      <c r="J39" s="1" t="s">
        <v>386</v>
      </c>
      <c r="K39" s="2">
        <v>-68.8510929</v>
      </c>
      <c r="L39" s="2">
        <v>-32.884107</v>
      </c>
    </row>
    <row r="40">
      <c r="A40" s="1">
        <v>139.0</v>
      </c>
      <c r="B40" s="1" t="s">
        <v>29</v>
      </c>
      <c r="C40" s="1">
        <v>6.0</v>
      </c>
      <c r="D40" s="1" t="s">
        <v>391</v>
      </c>
      <c r="E40" s="1" t="s">
        <v>15</v>
      </c>
      <c r="F40" s="1" t="s">
        <v>261</v>
      </c>
      <c r="G40" s="3" t="s">
        <v>398</v>
      </c>
      <c r="H40" s="3" t="s">
        <v>398</v>
      </c>
      <c r="I40" s="1" t="s">
        <v>21</v>
      </c>
      <c r="J40" s="1" t="s">
        <v>404</v>
      </c>
      <c r="K40" s="2">
        <v>-68.8407835</v>
      </c>
      <c r="L40" s="2">
        <v>-32.8900813</v>
      </c>
    </row>
    <row r="41">
      <c r="A41" s="1">
        <v>168.0</v>
      </c>
      <c r="B41" s="1" t="s">
        <v>29</v>
      </c>
      <c r="C41" s="1">
        <v>8.0</v>
      </c>
      <c r="D41" s="1" t="s">
        <v>406</v>
      </c>
      <c r="E41" s="1" t="s">
        <v>15</v>
      </c>
      <c r="F41" s="1" t="s">
        <v>261</v>
      </c>
      <c r="G41" s="3" t="s">
        <v>409</v>
      </c>
      <c r="H41" s="3" t="s">
        <v>409</v>
      </c>
      <c r="I41" s="1" t="s">
        <v>21</v>
      </c>
      <c r="J41" s="1" t="s">
        <v>412</v>
      </c>
      <c r="K41" s="2">
        <v>-68.84117189999999</v>
      </c>
      <c r="L41" s="2">
        <v>-32.8919401</v>
      </c>
    </row>
    <row r="42">
      <c r="A42" s="1">
        <v>197.0</v>
      </c>
      <c r="B42" s="1" t="s">
        <v>29</v>
      </c>
      <c r="C42" s="1">
        <v>10.0</v>
      </c>
      <c r="D42" s="1" t="s">
        <v>418</v>
      </c>
      <c r="E42" s="1" t="s">
        <v>15</v>
      </c>
      <c r="F42" s="1" t="s">
        <v>261</v>
      </c>
      <c r="G42" s="1" t="s">
        <v>419</v>
      </c>
      <c r="H42" s="1" t="s">
        <v>419</v>
      </c>
      <c r="I42" s="1" t="s">
        <v>21</v>
      </c>
      <c r="J42" s="1" t="s">
        <v>420</v>
      </c>
      <c r="K42" s="2">
        <v>-68.8525684</v>
      </c>
      <c r="L42" s="2">
        <v>-32.8926084</v>
      </c>
    </row>
    <row r="43">
      <c r="A43" s="1">
        <v>198.0</v>
      </c>
      <c r="B43" s="1" t="s">
        <v>29</v>
      </c>
      <c r="C43" s="1">
        <v>10.0</v>
      </c>
      <c r="D43" s="1" t="s">
        <v>422</v>
      </c>
      <c r="E43" s="1" t="s">
        <v>15</v>
      </c>
      <c r="F43" s="1" t="s">
        <v>261</v>
      </c>
      <c r="G43" s="1" t="s">
        <v>424</v>
      </c>
      <c r="H43" s="1" t="s">
        <v>424</v>
      </c>
      <c r="I43" s="1" t="s">
        <v>21</v>
      </c>
      <c r="J43" s="1" t="s">
        <v>425</v>
      </c>
      <c r="K43" s="2">
        <v>-68.8331</v>
      </c>
      <c r="L43" s="2">
        <v>-32.892803</v>
      </c>
    </row>
    <row r="44">
      <c r="A44" s="1">
        <v>199.0</v>
      </c>
      <c r="B44" s="1" t="s">
        <v>29</v>
      </c>
      <c r="C44" s="1">
        <v>10.0</v>
      </c>
      <c r="D44" s="1" t="s">
        <v>418</v>
      </c>
      <c r="E44" s="1" t="s">
        <v>15</v>
      </c>
      <c r="F44" s="1" t="s">
        <v>261</v>
      </c>
      <c r="G44" s="1" t="s">
        <v>428</v>
      </c>
      <c r="H44" s="1" t="s">
        <v>428</v>
      </c>
      <c r="I44" s="1" t="s">
        <v>21</v>
      </c>
      <c r="J44" s="1" t="s">
        <v>430</v>
      </c>
      <c r="K44" s="2">
        <v>-68.838049</v>
      </c>
      <c r="L44" s="2">
        <v>-32.89321</v>
      </c>
    </row>
    <row r="45">
      <c r="A45" s="1">
        <v>216.0</v>
      </c>
      <c r="B45" s="1" t="s">
        <v>29</v>
      </c>
      <c r="C45" s="1">
        <v>11.0</v>
      </c>
      <c r="D45" s="1" t="s">
        <v>433</v>
      </c>
      <c r="E45" s="1" t="s">
        <v>15</v>
      </c>
      <c r="F45" s="1" t="s">
        <v>261</v>
      </c>
      <c r="G45" s="3" t="s">
        <v>435</v>
      </c>
      <c r="H45" s="3" t="s">
        <v>435</v>
      </c>
      <c r="I45" s="1" t="s">
        <v>21</v>
      </c>
      <c r="J45" s="1" t="s">
        <v>438</v>
      </c>
      <c r="K45" s="2">
        <v>-68.8404498</v>
      </c>
      <c r="L45" s="2">
        <v>-32.8898726</v>
      </c>
    </row>
    <row r="46">
      <c r="A46" s="1">
        <v>229.0</v>
      </c>
      <c r="B46" s="1" t="s">
        <v>29</v>
      </c>
      <c r="C46" s="1">
        <v>13.0</v>
      </c>
      <c r="D46" s="1" t="s">
        <v>440</v>
      </c>
      <c r="E46" s="1" t="s">
        <v>15</v>
      </c>
      <c r="F46" s="1" t="s">
        <v>261</v>
      </c>
      <c r="G46" s="3" t="s">
        <v>443</v>
      </c>
      <c r="H46" s="1" t="s">
        <v>444</v>
      </c>
      <c r="I46" s="1" t="s">
        <v>21</v>
      </c>
      <c r="J46" s="1" t="s">
        <v>446</v>
      </c>
      <c r="K46" s="2">
        <v>-68.83987600000002</v>
      </c>
      <c r="L46" s="2">
        <v>-32.887655</v>
      </c>
    </row>
    <row r="47">
      <c r="A47" s="1">
        <v>253.0</v>
      </c>
      <c r="B47" s="1" t="s">
        <v>29</v>
      </c>
      <c r="C47" s="1">
        <v>16.0</v>
      </c>
      <c r="D47" s="1" t="s">
        <v>448</v>
      </c>
      <c r="E47" s="1" t="s">
        <v>15</v>
      </c>
      <c r="F47" s="1" t="s">
        <v>261</v>
      </c>
      <c r="G47" s="3" t="s">
        <v>451</v>
      </c>
      <c r="H47" s="3" t="s">
        <v>451</v>
      </c>
      <c r="I47" s="1" t="s">
        <v>21</v>
      </c>
      <c r="J47" s="1" t="s">
        <v>453</v>
      </c>
      <c r="K47" s="2">
        <v>-68.83903570000001</v>
      </c>
      <c r="L47" s="2">
        <v>-32.8847113</v>
      </c>
    </row>
    <row r="48">
      <c r="A48" s="1">
        <v>282.0</v>
      </c>
      <c r="B48" s="1" t="s">
        <v>51</v>
      </c>
      <c r="C48" s="1">
        <v>2.0</v>
      </c>
      <c r="D48" s="1" t="s">
        <v>457</v>
      </c>
      <c r="E48" s="1" t="s">
        <v>15</v>
      </c>
      <c r="F48" s="1" t="s">
        <v>261</v>
      </c>
      <c r="G48" s="1" t="s">
        <v>458</v>
      </c>
      <c r="H48" s="1" t="s">
        <v>458</v>
      </c>
      <c r="I48" s="1" t="s">
        <v>21</v>
      </c>
      <c r="J48" s="1" t="s">
        <v>460</v>
      </c>
      <c r="K48" s="2">
        <v>-68.84000449999999</v>
      </c>
      <c r="L48" s="2">
        <v>-32.890499</v>
      </c>
    </row>
    <row r="49">
      <c r="A49" s="1">
        <v>289.0</v>
      </c>
      <c r="B49" s="1" t="s">
        <v>51</v>
      </c>
      <c r="C49" s="1">
        <v>3.0</v>
      </c>
      <c r="D49" s="1" t="s">
        <v>464</v>
      </c>
      <c r="E49" s="1" t="s">
        <v>15</v>
      </c>
      <c r="F49" s="1" t="s">
        <v>261</v>
      </c>
      <c r="G49" s="1" t="s">
        <v>466</v>
      </c>
      <c r="H49" s="1" t="s">
        <v>466</v>
      </c>
      <c r="I49" s="1" t="s">
        <v>21</v>
      </c>
      <c r="J49" s="1" t="s">
        <v>467</v>
      </c>
      <c r="K49" s="2">
        <v>-68.84000449999999</v>
      </c>
      <c r="L49" s="2">
        <v>-32.890499</v>
      </c>
    </row>
    <row r="50">
      <c r="A50" s="1">
        <v>302.0</v>
      </c>
      <c r="B50" s="1" t="s">
        <v>51</v>
      </c>
      <c r="C50" s="1">
        <v>4.0</v>
      </c>
      <c r="D50" s="1" t="s">
        <v>471</v>
      </c>
      <c r="E50" s="1" t="s">
        <v>15</v>
      </c>
      <c r="F50" s="1" t="s">
        <v>261</v>
      </c>
      <c r="G50" s="1" t="s">
        <v>472</v>
      </c>
      <c r="H50" s="1" t="s">
        <v>472</v>
      </c>
      <c r="I50" s="1" t="s">
        <v>21</v>
      </c>
      <c r="J50" s="1" t="s">
        <v>475</v>
      </c>
      <c r="K50" s="2">
        <v>-68.84000449999999</v>
      </c>
      <c r="L50" s="2">
        <v>-32.890499</v>
      </c>
    </row>
    <row r="51">
      <c r="A51" s="1">
        <v>358.0</v>
      </c>
      <c r="B51" s="1" t="s">
        <v>154</v>
      </c>
      <c r="C51" s="1">
        <v>5.0</v>
      </c>
      <c r="D51" s="1" t="s">
        <v>477</v>
      </c>
      <c r="E51" s="1" t="s">
        <v>15</v>
      </c>
      <c r="F51" s="1" t="s">
        <v>261</v>
      </c>
      <c r="G51" s="1" t="s">
        <v>478</v>
      </c>
      <c r="H51" s="1" t="s">
        <v>478</v>
      </c>
      <c r="I51" s="1" t="s">
        <v>21</v>
      </c>
      <c r="J51" s="1" t="s">
        <v>479</v>
      </c>
      <c r="K51" s="2">
        <v>-68.8479067</v>
      </c>
      <c r="L51" s="2">
        <v>-32.8893073</v>
      </c>
    </row>
    <row r="52">
      <c r="A52" s="1">
        <v>373.0</v>
      </c>
      <c r="B52" s="1" t="s">
        <v>24</v>
      </c>
      <c r="C52" s="1">
        <v>1.0</v>
      </c>
      <c r="D52" s="1" t="s">
        <v>480</v>
      </c>
      <c r="E52" s="1" t="s">
        <v>15</v>
      </c>
      <c r="F52" s="1" t="s">
        <v>261</v>
      </c>
      <c r="G52" s="1" t="s">
        <v>481</v>
      </c>
      <c r="H52" s="1" t="s">
        <v>481</v>
      </c>
      <c r="I52" s="1" t="s">
        <v>21</v>
      </c>
      <c r="J52" s="1" t="s">
        <v>482</v>
      </c>
      <c r="K52" s="2">
        <v>-68.8529284</v>
      </c>
      <c r="L52" s="2">
        <v>-32.8925468</v>
      </c>
    </row>
    <row r="53">
      <c r="A53" s="1">
        <v>378.0</v>
      </c>
      <c r="B53" s="1" t="s">
        <v>24</v>
      </c>
      <c r="C53" s="1">
        <v>2.0</v>
      </c>
      <c r="D53" s="1" t="s">
        <v>483</v>
      </c>
      <c r="E53" s="1" t="s">
        <v>15</v>
      </c>
      <c r="F53" s="1" t="s">
        <v>261</v>
      </c>
      <c r="G53" s="1" t="s">
        <v>484</v>
      </c>
      <c r="H53" s="1" t="s">
        <v>486</v>
      </c>
      <c r="I53" s="1" t="s">
        <v>21</v>
      </c>
      <c r="J53" s="1" t="s">
        <v>488</v>
      </c>
      <c r="K53" s="2">
        <v>-68.8535603</v>
      </c>
      <c r="L53" s="2">
        <v>-32.8924279</v>
      </c>
    </row>
    <row r="54">
      <c r="A54" s="1">
        <v>413.0</v>
      </c>
      <c r="B54" s="1" t="s">
        <v>24</v>
      </c>
      <c r="C54" s="1">
        <v>6.0</v>
      </c>
      <c r="D54" s="1" t="s">
        <v>464</v>
      </c>
      <c r="E54" s="1" t="s">
        <v>15</v>
      </c>
      <c r="F54" s="1" t="s">
        <v>261</v>
      </c>
      <c r="G54" s="1" t="s">
        <v>492</v>
      </c>
      <c r="H54" s="1" t="s">
        <v>492</v>
      </c>
      <c r="I54" s="1" t="s">
        <v>21</v>
      </c>
      <c r="J54" s="1" t="s">
        <v>494</v>
      </c>
      <c r="K54" s="2">
        <v>-68.859314</v>
      </c>
      <c r="L54" s="2">
        <v>-32.8913929</v>
      </c>
    </row>
    <row r="55">
      <c r="A55" s="1">
        <v>433.0</v>
      </c>
      <c r="B55" s="1" t="s">
        <v>24</v>
      </c>
      <c r="C55" s="1">
        <v>9.0</v>
      </c>
      <c r="D55" s="1" t="s">
        <v>497</v>
      </c>
      <c r="E55" s="1" t="s">
        <v>15</v>
      </c>
      <c r="F55" s="1" t="s">
        <v>261</v>
      </c>
      <c r="G55" s="1" t="s">
        <v>499</v>
      </c>
      <c r="H55" s="1" t="s">
        <v>499</v>
      </c>
      <c r="I55" s="1" t="s">
        <v>21</v>
      </c>
      <c r="J55" s="1" t="s">
        <v>501</v>
      </c>
      <c r="K55" s="2">
        <v>-68.8595969</v>
      </c>
      <c r="L55" s="2">
        <v>-32.891601</v>
      </c>
    </row>
    <row r="56">
      <c r="A56" s="1">
        <v>444.0</v>
      </c>
      <c r="B56" s="1" t="s">
        <v>24</v>
      </c>
      <c r="C56" s="1">
        <v>11.0</v>
      </c>
      <c r="D56" s="1" t="s">
        <v>504</v>
      </c>
      <c r="E56" s="1" t="s">
        <v>15</v>
      </c>
      <c r="F56" s="1" t="s">
        <v>261</v>
      </c>
      <c r="G56" s="1" t="s">
        <v>507</v>
      </c>
      <c r="H56" s="1" t="s">
        <v>507</v>
      </c>
      <c r="I56" s="1" t="s">
        <v>21</v>
      </c>
      <c r="J56" s="1" t="s">
        <v>509</v>
      </c>
      <c r="K56" s="2">
        <v>-68.85656709999999</v>
      </c>
      <c r="L56" s="2">
        <v>-32.8920162</v>
      </c>
    </row>
    <row r="57">
      <c r="A57" s="1">
        <v>473.0</v>
      </c>
      <c r="B57" s="1" t="s">
        <v>24</v>
      </c>
      <c r="C57" s="1">
        <v>13.0</v>
      </c>
      <c r="D57" s="1" t="s">
        <v>512</v>
      </c>
      <c r="E57" s="1" t="s">
        <v>15</v>
      </c>
      <c r="F57" s="1" t="s">
        <v>261</v>
      </c>
      <c r="G57" s="1" t="s">
        <v>514</v>
      </c>
      <c r="H57" s="1" t="s">
        <v>514</v>
      </c>
      <c r="I57" s="1" t="s">
        <v>21</v>
      </c>
      <c r="J57" s="1" t="s">
        <v>516</v>
      </c>
      <c r="K57" s="2">
        <v>-68.85173499999999</v>
      </c>
      <c r="L57" s="2">
        <v>-32.893015</v>
      </c>
    </row>
    <row r="58">
      <c r="A58" s="1">
        <v>659.0</v>
      </c>
      <c r="B58" s="1" t="s">
        <v>36</v>
      </c>
      <c r="C58" s="1">
        <v>1.0</v>
      </c>
      <c r="D58" s="1" t="s">
        <v>519</v>
      </c>
      <c r="E58" s="1" t="s">
        <v>15</v>
      </c>
      <c r="F58" s="1" t="s">
        <v>261</v>
      </c>
      <c r="G58" s="1" t="s">
        <v>520</v>
      </c>
      <c r="H58" s="1" t="s">
        <v>520</v>
      </c>
      <c r="I58" s="1" t="s">
        <v>21</v>
      </c>
      <c r="J58" s="1" t="s">
        <v>521</v>
      </c>
      <c r="K58" s="2">
        <v>-68.8375779</v>
      </c>
      <c r="L58" s="2">
        <v>-32.884397</v>
      </c>
    </row>
    <row r="59">
      <c r="A59" s="1">
        <v>699.0</v>
      </c>
      <c r="B59" s="1" t="s">
        <v>36</v>
      </c>
      <c r="C59" s="1">
        <v>5.0</v>
      </c>
      <c r="D59" s="1" t="s">
        <v>524</v>
      </c>
      <c r="E59" s="1" t="s">
        <v>15</v>
      </c>
      <c r="F59" s="1" t="s">
        <v>261</v>
      </c>
      <c r="G59" s="1" t="s">
        <v>525</v>
      </c>
      <c r="H59" s="1" t="s">
        <v>525</v>
      </c>
      <c r="I59" s="1" t="s">
        <v>21</v>
      </c>
      <c r="J59" s="1" t="s">
        <v>526</v>
      </c>
      <c r="K59" s="2">
        <v>-68.8359773</v>
      </c>
      <c r="L59" s="2">
        <v>-32.8788443</v>
      </c>
    </row>
    <row r="60">
      <c r="A60" s="1">
        <v>749.0</v>
      </c>
      <c r="B60" s="1" t="s">
        <v>36</v>
      </c>
      <c r="C60" s="1">
        <v>12.0</v>
      </c>
      <c r="D60" s="1" t="s">
        <v>529</v>
      </c>
      <c r="E60" s="1" t="s">
        <v>15</v>
      </c>
      <c r="F60" s="1" t="s">
        <v>261</v>
      </c>
      <c r="G60" s="1" t="s">
        <v>531</v>
      </c>
      <c r="H60" s="1" t="s">
        <v>531</v>
      </c>
      <c r="I60" s="1" t="s">
        <v>21</v>
      </c>
      <c r="J60" s="1" t="s">
        <v>533</v>
      </c>
      <c r="K60" s="2">
        <v>-68.8369215</v>
      </c>
      <c r="L60" s="2">
        <v>-32.8805589</v>
      </c>
    </row>
    <row r="61">
      <c r="A61" s="1">
        <v>776.0</v>
      </c>
      <c r="B61" s="1" t="s">
        <v>36</v>
      </c>
      <c r="C61" s="1">
        <v>14.0</v>
      </c>
      <c r="D61" s="1" t="s">
        <v>536</v>
      </c>
      <c r="E61" s="1" t="s">
        <v>15</v>
      </c>
      <c r="F61" s="1" t="s">
        <v>261</v>
      </c>
      <c r="G61" s="1" t="s">
        <v>538</v>
      </c>
      <c r="H61" s="1" t="s">
        <v>538</v>
      </c>
      <c r="I61" s="1" t="s">
        <v>21</v>
      </c>
      <c r="J61" s="1" t="s">
        <v>540</v>
      </c>
      <c r="K61" s="2">
        <v>-68.8376431</v>
      </c>
      <c r="L61" s="2">
        <v>-32.8832839</v>
      </c>
    </row>
    <row r="62">
      <c r="A62" s="1">
        <v>876.0</v>
      </c>
      <c r="B62" s="1" t="s">
        <v>55</v>
      </c>
      <c r="C62" s="1">
        <v>7.0</v>
      </c>
      <c r="D62" s="1" t="s">
        <v>543</v>
      </c>
      <c r="E62" s="1" t="s">
        <v>15</v>
      </c>
      <c r="F62" s="1" t="s">
        <v>261</v>
      </c>
      <c r="G62" s="1" t="s">
        <v>546</v>
      </c>
      <c r="H62" s="1" t="s">
        <v>546</v>
      </c>
      <c r="I62" s="1" t="s">
        <v>21</v>
      </c>
      <c r="J62" s="1" t="s">
        <v>547</v>
      </c>
      <c r="K62" s="2">
        <v>-68.8466042</v>
      </c>
      <c r="L62" s="2">
        <v>-32.884631</v>
      </c>
    </row>
    <row r="63">
      <c r="A63" s="1">
        <v>884.0</v>
      </c>
      <c r="B63" s="1" t="s">
        <v>55</v>
      </c>
      <c r="C63" s="1">
        <v>10.0</v>
      </c>
      <c r="D63" s="1" t="s">
        <v>551</v>
      </c>
      <c r="E63" s="1" t="s">
        <v>15</v>
      </c>
      <c r="F63" s="1" t="s">
        <v>261</v>
      </c>
      <c r="G63" s="1" t="s">
        <v>244</v>
      </c>
      <c r="H63" s="1" t="s">
        <v>553</v>
      </c>
      <c r="I63" s="1" t="s">
        <v>21</v>
      </c>
      <c r="J63" s="1" t="s">
        <v>247</v>
      </c>
      <c r="K63" s="2">
        <v>-68.8470579</v>
      </c>
      <c r="L63" s="2">
        <v>-32.8849279</v>
      </c>
    </row>
    <row r="64">
      <c r="A64" s="1">
        <v>887.0</v>
      </c>
      <c r="B64" s="1" t="s">
        <v>55</v>
      </c>
      <c r="C64" s="1">
        <v>10.0</v>
      </c>
      <c r="D64" s="1" t="s">
        <v>557</v>
      </c>
      <c r="E64" s="1" t="s">
        <v>15</v>
      </c>
      <c r="F64" s="1" t="s">
        <v>261</v>
      </c>
      <c r="G64" s="1" t="s">
        <v>558</v>
      </c>
      <c r="H64" s="1" t="s">
        <v>558</v>
      </c>
      <c r="I64" s="1" t="s">
        <v>21</v>
      </c>
      <c r="J64" s="1" t="s">
        <v>560</v>
      </c>
      <c r="K64" s="2">
        <v>-68.8470701</v>
      </c>
      <c r="L64" s="2">
        <v>-32.8849004</v>
      </c>
    </row>
    <row r="65">
      <c r="A65" s="1">
        <v>977.0</v>
      </c>
      <c r="B65" s="1" t="s">
        <v>62</v>
      </c>
      <c r="C65" s="1">
        <v>2.0</v>
      </c>
      <c r="D65" s="1" t="s">
        <v>563</v>
      </c>
      <c r="E65" s="1" t="s">
        <v>15</v>
      </c>
      <c r="F65" s="1" t="s">
        <v>261</v>
      </c>
      <c r="G65" s="1" t="s">
        <v>564</v>
      </c>
      <c r="H65" s="1" t="s">
        <v>566</v>
      </c>
      <c r="I65" s="1" t="s">
        <v>21</v>
      </c>
      <c r="J65" s="1" t="s">
        <v>568</v>
      </c>
      <c r="K65" s="2">
        <v>-68.842907</v>
      </c>
      <c r="L65" s="2">
        <v>-32.894256</v>
      </c>
    </row>
    <row r="66">
      <c r="A66" s="1">
        <v>984.0</v>
      </c>
      <c r="B66" s="1" t="s">
        <v>62</v>
      </c>
      <c r="C66" s="1">
        <v>3.0</v>
      </c>
      <c r="D66" s="1" t="s">
        <v>571</v>
      </c>
      <c r="E66" s="1" t="s">
        <v>15</v>
      </c>
      <c r="F66" s="1" t="s">
        <v>261</v>
      </c>
      <c r="G66" s="1" t="s">
        <v>573</v>
      </c>
      <c r="H66" s="1" t="s">
        <v>573</v>
      </c>
      <c r="I66" s="1" t="s">
        <v>21</v>
      </c>
      <c r="J66" s="1" t="s">
        <v>576</v>
      </c>
      <c r="K66" s="2">
        <v>-68.8437929</v>
      </c>
      <c r="L66" s="2">
        <v>-32.894275</v>
      </c>
    </row>
    <row r="67">
      <c r="A67" s="1">
        <v>989.0</v>
      </c>
      <c r="B67" s="1" t="s">
        <v>62</v>
      </c>
      <c r="C67" s="1">
        <v>4.0</v>
      </c>
      <c r="D67" s="1" t="s">
        <v>578</v>
      </c>
      <c r="E67" s="1" t="s">
        <v>15</v>
      </c>
      <c r="F67" s="1" t="s">
        <v>261</v>
      </c>
      <c r="G67" s="1" t="s">
        <v>581</v>
      </c>
      <c r="H67" s="1" t="s">
        <v>581</v>
      </c>
      <c r="I67" s="1" t="s">
        <v>21</v>
      </c>
      <c r="J67" s="1" t="s">
        <v>583</v>
      </c>
      <c r="K67" s="2">
        <v>-68.8444224</v>
      </c>
      <c r="L67" s="2">
        <v>-32.8941035</v>
      </c>
    </row>
    <row r="68">
      <c r="A68" s="1">
        <v>991.0</v>
      </c>
      <c r="B68" s="1" t="s">
        <v>62</v>
      </c>
      <c r="C68" s="1">
        <v>4.0</v>
      </c>
      <c r="D68" s="1" t="s">
        <v>586</v>
      </c>
      <c r="E68" s="1" t="s">
        <v>15</v>
      </c>
      <c r="F68" s="1" t="s">
        <v>261</v>
      </c>
      <c r="G68" s="1" t="s">
        <v>588</v>
      </c>
      <c r="H68" s="1" t="s">
        <v>588</v>
      </c>
      <c r="I68" s="1" t="s">
        <v>21</v>
      </c>
      <c r="J68" s="1" t="s">
        <v>589</v>
      </c>
      <c r="K68" s="2">
        <v>-68.844628</v>
      </c>
      <c r="L68" s="2">
        <v>-32.8940986</v>
      </c>
    </row>
    <row r="69">
      <c r="A69" s="1">
        <v>994.0</v>
      </c>
      <c r="B69" s="1" t="s">
        <v>62</v>
      </c>
      <c r="C69" s="1">
        <v>4.0</v>
      </c>
      <c r="D69" s="1" t="s">
        <v>592</v>
      </c>
      <c r="E69" s="1" t="s">
        <v>15</v>
      </c>
      <c r="F69" s="1" t="s">
        <v>261</v>
      </c>
      <c r="G69" s="1" t="s">
        <v>594</v>
      </c>
      <c r="H69" s="1" t="s">
        <v>594</v>
      </c>
      <c r="I69" s="1" t="s">
        <v>21</v>
      </c>
      <c r="J69" s="1" t="s">
        <v>596</v>
      </c>
      <c r="K69" s="2">
        <v>-68.8447868</v>
      </c>
      <c r="L69" s="2">
        <v>-32.8940195</v>
      </c>
    </row>
    <row r="70">
      <c r="A70" s="1">
        <v>1010.0</v>
      </c>
      <c r="B70" s="1" t="s">
        <v>62</v>
      </c>
      <c r="C70" s="1">
        <v>6.0</v>
      </c>
      <c r="D70" s="1" t="s">
        <v>578</v>
      </c>
      <c r="E70" s="1" t="s">
        <v>15</v>
      </c>
      <c r="F70" s="1" t="s">
        <v>261</v>
      </c>
      <c r="G70" s="1" t="s">
        <v>600</v>
      </c>
      <c r="H70" s="1" t="s">
        <v>602</v>
      </c>
      <c r="I70" s="1" t="s">
        <v>21</v>
      </c>
      <c r="J70" s="1" t="s">
        <v>603</v>
      </c>
      <c r="K70" s="2">
        <v>-68.8472989</v>
      </c>
      <c r="L70" s="2">
        <v>-32.893456</v>
      </c>
    </row>
    <row r="71">
      <c r="A71" s="1">
        <v>1015.0</v>
      </c>
      <c r="B71" s="1" t="s">
        <v>62</v>
      </c>
      <c r="C71" s="1">
        <v>6.0</v>
      </c>
      <c r="D71" s="1" t="s">
        <v>606</v>
      </c>
      <c r="E71" s="1" t="s">
        <v>15</v>
      </c>
      <c r="F71" s="1" t="s">
        <v>261</v>
      </c>
      <c r="G71" s="1" t="s">
        <v>608</v>
      </c>
      <c r="H71" s="1" t="s">
        <v>608</v>
      </c>
      <c r="I71" s="1" t="s">
        <v>21</v>
      </c>
      <c r="J71" s="1" t="s">
        <v>610</v>
      </c>
      <c r="K71" s="2">
        <v>-68.8485535</v>
      </c>
      <c r="L71" s="2">
        <v>-32.8934933</v>
      </c>
    </row>
    <row r="72">
      <c r="B72" s="1" t="s">
        <v>62</v>
      </c>
      <c r="C72" s="1">
        <v>12.0</v>
      </c>
      <c r="D72" s="1" t="s">
        <v>613</v>
      </c>
      <c r="E72" s="1" t="s">
        <v>15</v>
      </c>
      <c r="F72" s="1" t="s">
        <v>261</v>
      </c>
      <c r="G72" s="1" t="s">
        <v>615</v>
      </c>
      <c r="H72" s="1" t="s">
        <v>615</v>
      </c>
      <c r="I72" s="1" t="s">
        <v>21</v>
      </c>
      <c r="J72" s="1" t="s">
        <v>618</v>
      </c>
      <c r="K72" s="2">
        <v>-68.8461569</v>
      </c>
      <c r="L72" s="2">
        <v>-32.894044</v>
      </c>
    </row>
    <row r="73">
      <c r="A73" s="1">
        <v>1068.0</v>
      </c>
      <c r="B73" s="1" t="s">
        <v>62</v>
      </c>
      <c r="C73" s="1">
        <v>12.0</v>
      </c>
      <c r="D73" s="1" t="s">
        <v>620</v>
      </c>
      <c r="E73" s="1" t="s">
        <v>15</v>
      </c>
      <c r="F73" s="1" t="s">
        <v>261</v>
      </c>
      <c r="G73" s="1" t="s">
        <v>622</v>
      </c>
      <c r="H73" s="1" t="s">
        <v>622</v>
      </c>
      <c r="I73" s="1" t="s">
        <v>21</v>
      </c>
      <c r="J73" s="1" t="s">
        <v>625</v>
      </c>
      <c r="K73" s="2">
        <v>-68.8460071</v>
      </c>
      <c r="L73" s="2">
        <v>-32.8940788</v>
      </c>
    </row>
    <row r="74">
      <c r="B74" s="1" t="s">
        <v>62</v>
      </c>
      <c r="C74" s="1">
        <v>14.0</v>
      </c>
      <c r="D74" s="1" t="s">
        <v>627</v>
      </c>
      <c r="E74" s="1" t="s">
        <v>15</v>
      </c>
      <c r="F74" s="1" t="s">
        <v>261</v>
      </c>
      <c r="G74" s="1" t="s">
        <v>629</v>
      </c>
      <c r="H74" s="1" t="s">
        <v>630</v>
      </c>
      <c r="I74" s="1" t="s">
        <v>21</v>
      </c>
      <c r="J74" s="1" t="s">
        <v>632</v>
      </c>
      <c r="K74" s="2">
        <v>-68.8433716</v>
      </c>
      <c r="L74" s="2">
        <v>-32.8945966</v>
      </c>
    </row>
    <row r="75">
      <c r="A75" s="1">
        <v>1124.0</v>
      </c>
      <c r="B75" s="1" t="s">
        <v>120</v>
      </c>
      <c r="C75" s="1">
        <v>2.0</v>
      </c>
      <c r="D75" s="1" t="s">
        <v>64</v>
      </c>
      <c r="E75" s="1" t="s">
        <v>15</v>
      </c>
      <c r="F75" s="1" t="s">
        <v>261</v>
      </c>
      <c r="G75" s="1" t="s">
        <v>635</v>
      </c>
      <c r="H75" s="1" t="s">
        <v>635</v>
      </c>
      <c r="I75" s="1" t="s">
        <v>21</v>
      </c>
      <c r="J75" s="1" t="s">
        <v>637</v>
      </c>
      <c r="K75" s="2">
        <v>-68.841154</v>
      </c>
      <c r="L75" s="2">
        <v>-32.889007</v>
      </c>
    </row>
    <row r="76">
      <c r="A76" s="1">
        <v>1132.0</v>
      </c>
      <c r="B76" s="1" t="s">
        <v>120</v>
      </c>
      <c r="C76" s="1">
        <v>3.0</v>
      </c>
      <c r="D76" s="1" t="s">
        <v>613</v>
      </c>
      <c r="E76" s="1" t="s">
        <v>15</v>
      </c>
      <c r="F76" s="1" t="s">
        <v>261</v>
      </c>
      <c r="G76" s="1" t="s">
        <v>642</v>
      </c>
      <c r="H76" s="1" t="s">
        <v>642</v>
      </c>
      <c r="I76" s="1" t="s">
        <v>21</v>
      </c>
      <c r="J76" s="1" t="s">
        <v>644</v>
      </c>
      <c r="K76" s="2">
        <v>-68.84204400000002</v>
      </c>
      <c r="L76" s="2">
        <v>-32.888844</v>
      </c>
    </row>
    <row r="77">
      <c r="A77" s="1">
        <v>1144.0</v>
      </c>
      <c r="B77" s="1" t="s">
        <v>120</v>
      </c>
      <c r="C77" s="1">
        <v>4.0</v>
      </c>
      <c r="D77" s="1" t="s">
        <v>646</v>
      </c>
      <c r="E77" s="1" t="s">
        <v>15</v>
      </c>
      <c r="F77" s="1" t="s">
        <v>261</v>
      </c>
      <c r="G77" s="1" t="s">
        <v>648</v>
      </c>
      <c r="H77" s="1" t="s">
        <v>648</v>
      </c>
      <c r="I77" s="1" t="s">
        <v>21</v>
      </c>
      <c r="J77" s="1" t="s">
        <v>650</v>
      </c>
      <c r="K77" s="2">
        <v>-68.8425396</v>
      </c>
      <c r="L77" s="2">
        <v>-32.8889844</v>
      </c>
    </row>
    <row r="78">
      <c r="A78" s="1">
        <v>1145.0</v>
      </c>
      <c r="B78" s="1" t="s">
        <v>120</v>
      </c>
      <c r="C78" s="1">
        <v>4.0</v>
      </c>
      <c r="D78" s="1" t="s">
        <v>652</v>
      </c>
      <c r="E78" s="1" t="s">
        <v>15</v>
      </c>
      <c r="F78" s="1" t="s">
        <v>261</v>
      </c>
      <c r="G78" s="1" t="s">
        <v>654</v>
      </c>
      <c r="H78" s="1" t="s">
        <v>654</v>
      </c>
      <c r="I78" s="1" t="s">
        <v>21</v>
      </c>
      <c r="J78" s="1" t="s">
        <v>656</v>
      </c>
      <c r="K78" s="2">
        <v>-68.8425331</v>
      </c>
      <c r="L78" s="2">
        <v>-32.8890283</v>
      </c>
    </row>
    <row r="79">
      <c r="A79" s="1">
        <v>1159.0</v>
      </c>
      <c r="B79" s="1" t="s">
        <v>120</v>
      </c>
      <c r="C79" s="1">
        <v>5.0</v>
      </c>
      <c r="D79" s="1" t="s">
        <v>659</v>
      </c>
      <c r="E79" s="1" t="s">
        <v>15</v>
      </c>
      <c r="F79" s="1" t="s">
        <v>261</v>
      </c>
      <c r="G79" s="1" t="s">
        <v>661</v>
      </c>
      <c r="H79" s="1" t="s">
        <v>661</v>
      </c>
      <c r="I79" s="1" t="s">
        <v>21</v>
      </c>
      <c r="J79" s="1" t="s">
        <v>662</v>
      </c>
      <c r="K79" s="2">
        <v>-68.8410193</v>
      </c>
      <c r="L79" s="2">
        <v>-32.8893192</v>
      </c>
    </row>
    <row r="80">
      <c r="B80" s="1" t="s">
        <v>120</v>
      </c>
      <c r="C80" s="1">
        <v>5.0</v>
      </c>
      <c r="D80" s="1" t="s">
        <v>578</v>
      </c>
      <c r="E80" s="1" t="s">
        <v>15</v>
      </c>
      <c r="F80" s="1" t="s">
        <v>261</v>
      </c>
      <c r="G80" s="1" t="s">
        <v>667</v>
      </c>
      <c r="H80" s="1" t="s">
        <v>667</v>
      </c>
      <c r="I80" s="1" t="s">
        <v>21</v>
      </c>
      <c r="J80" s="1" t="s">
        <v>668</v>
      </c>
      <c r="K80" s="2">
        <v>-68.8409944</v>
      </c>
      <c r="L80" s="2">
        <v>-32.8893513</v>
      </c>
    </row>
    <row r="81">
      <c r="A81" s="1">
        <v>1167.0</v>
      </c>
      <c r="B81" s="1" t="s">
        <v>120</v>
      </c>
      <c r="C81" s="1">
        <v>6.0</v>
      </c>
      <c r="D81" s="1" t="s">
        <v>64</v>
      </c>
      <c r="E81" s="1" t="s">
        <v>15</v>
      </c>
      <c r="F81" s="1" t="s">
        <v>261</v>
      </c>
      <c r="G81" s="1" t="s">
        <v>672</v>
      </c>
      <c r="H81" s="1" t="s">
        <v>672</v>
      </c>
      <c r="I81" s="1" t="s">
        <v>21</v>
      </c>
      <c r="J81" s="1" t="s">
        <v>673</v>
      </c>
      <c r="K81" s="2">
        <v>-68.840231</v>
      </c>
      <c r="L81" s="2">
        <v>-32.889449</v>
      </c>
    </row>
    <row r="82">
      <c r="A82" s="1">
        <v>1186.0</v>
      </c>
      <c r="B82" s="1" t="s">
        <v>227</v>
      </c>
      <c r="C82" s="1">
        <v>1.0</v>
      </c>
      <c r="D82" s="1" t="s">
        <v>675</v>
      </c>
      <c r="E82" s="1" t="s">
        <v>15</v>
      </c>
      <c r="F82" s="1" t="s">
        <v>261</v>
      </c>
      <c r="G82" s="1" t="s">
        <v>677</v>
      </c>
      <c r="H82" s="1" t="s">
        <v>678</v>
      </c>
      <c r="I82" s="1" t="s">
        <v>21</v>
      </c>
      <c r="J82" s="1" t="s">
        <v>680</v>
      </c>
      <c r="K82" s="2">
        <v>-68.8383659</v>
      </c>
      <c r="L82" s="2">
        <v>-32.883814</v>
      </c>
    </row>
    <row r="83">
      <c r="A83" s="1">
        <v>1192.0</v>
      </c>
      <c r="B83" s="1" t="s">
        <v>227</v>
      </c>
      <c r="C83" s="1">
        <v>1.0</v>
      </c>
      <c r="D83" s="1" t="s">
        <v>681</v>
      </c>
      <c r="E83" s="1" t="s">
        <v>15</v>
      </c>
      <c r="F83" s="1" t="s">
        <v>261</v>
      </c>
      <c r="G83" s="1" t="s">
        <v>683</v>
      </c>
      <c r="H83" s="1" t="s">
        <v>684</v>
      </c>
      <c r="I83" s="1" t="s">
        <v>21</v>
      </c>
      <c r="J83" s="1" t="s">
        <v>685</v>
      </c>
      <c r="K83" s="2">
        <v>-68.83873799999999</v>
      </c>
      <c r="L83" s="2">
        <v>-32.883636</v>
      </c>
    </row>
    <row r="84">
      <c r="A84" s="1">
        <v>1232.0</v>
      </c>
      <c r="B84" s="1" t="s">
        <v>227</v>
      </c>
      <c r="C84" s="1">
        <v>9.0</v>
      </c>
      <c r="D84" s="1" t="s">
        <v>675</v>
      </c>
      <c r="E84" s="1" t="s">
        <v>15</v>
      </c>
      <c r="F84" s="1" t="s">
        <v>261</v>
      </c>
      <c r="G84" s="1" t="s">
        <v>689</v>
      </c>
      <c r="H84" s="1" t="s">
        <v>689</v>
      </c>
      <c r="I84" s="1" t="s">
        <v>21</v>
      </c>
      <c r="J84" s="1" t="s">
        <v>690</v>
      </c>
      <c r="K84" s="2">
        <v>-68.8280195</v>
      </c>
      <c r="L84" s="2">
        <v>-32.8888293</v>
      </c>
    </row>
    <row r="85">
      <c r="A85" s="1">
        <v>1252.0</v>
      </c>
      <c r="B85" s="1" t="s">
        <v>248</v>
      </c>
      <c r="C85" s="1">
        <v>1.0</v>
      </c>
      <c r="D85" s="1" t="s">
        <v>696</v>
      </c>
      <c r="E85" s="1" t="s">
        <v>15</v>
      </c>
      <c r="F85" s="1" t="s">
        <v>261</v>
      </c>
      <c r="G85" s="1" t="s">
        <v>698</v>
      </c>
      <c r="H85" s="1" t="s">
        <v>698</v>
      </c>
      <c r="I85" s="1" t="s">
        <v>21</v>
      </c>
      <c r="J85" s="1" t="s">
        <v>699</v>
      </c>
      <c r="K85" s="2">
        <v>-68.8420336</v>
      </c>
      <c r="L85" s="2">
        <v>-32.89297640000001</v>
      </c>
    </row>
    <row r="86">
      <c r="A86" s="1">
        <v>1268.0</v>
      </c>
      <c r="B86" s="1" t="s">
        <v>248</v>
      </c>
      <c r="C86" s="1">
        <v>2.0</v>
      </c>
      <c r="D86" s="1" t="s">
        <v>701</v>
      </c>
      <c r="E86" s="1" t="s">
        <v>15</v>
      </c>
      <c r="F86" s="1" t="s">
        <v>261</v>
      </c>
      <c r="G86" s="1" t="s">
        <v>703</v>
      </c>
      <c r="H86" s="1" t="s">
        <v>703</v>
      </c>
      <c r="I86" s="1" t="s">
        <v>21</v>
      </c>
      <c r="J86" s="1" t="s">
        <v>705</v>
      </c>
      <c r="K86" s="2">
        <v>-68.8562324</v>
      </c>
      <c r="L86" s="2">
        <v>-32.8862306</v>
      </c>
    </row>
    <row r="87">
      <c r="A87" s="1">
        <v>1288.0</v>
      </c>
      <c r="B87" s="1" t="s">
        <v>248</v>
      </c>
      <c r="C87" s="1">
        <v>8.0</v>
      </c>
      <c r="D87" s="1" t="s">
        <v>613</v>
      </c>
      <c r="E87" s="1" t="s">
        <v>15</v>
      </c>
      <c r="F87" s="1" t="s">
        <v>261</v>
      </c>
      <c r="G87" s="1" t="s">
        <v>707</v>
      </c>
      <c r="H87" s="1" t="s">
        <v>707</v>
      </c>
      <c r="I87" s="1" t="s">
        <v>21</v>
      </c>
      <c r="J87" s="1" t="s">
        <v>709</v>
      </c>
      <c r="K87" s="2">
        <v>-68.8458386</v>
      </c>
      <c r="L87" s="2">
        <v>-32.8894587</v>
      </c>
    </row>
    <row r="88">
      <c r="A88" s="1">
        <v>1300.0</v>
      </c>
      <c r="B88" s="1" t="s">
        <v>248</v>
      </c>
      <c r="C88" s="1">
        <v>9.0</v>
      </c>
      <c r="D88" s="1" t="s">
        <v>711</v>
      </c>
      <c r="E88" s="1" t="s">
        <v>15</v>
      </c>
      <c r="F88" s="1" t="s">
        <v>261</v>
      </c>
      <c r="G88" s="1" t="s">
        <v>712</v>
      </c>
      <c r="H88" s="1" t="s">
        <v>713</v>
      </c>
      <c r="I88" s="1" t="s">
        <v>21</v>
      </c>
      <c r="J88" s="1" t="s">
        <v>715</v>
      </c>
      <c r="K88" s="2">
        <v>-68.8422336</v>
      </c>
      <c r="L88" s="2">
        <v>-32.891857</v>
      </c>
    </row>
    <row r="89">
      <c r="A89" s="1">
        <v>1312.0</v>
      </c>
      <c r="B89" s="1" t="s">
        <v>248</v>
      </c>
      <c r="C89" s="1">
        <v>10.0</v>
      </c>
      <c r="D89" s="1" t="s">
        <v>718</v>
      </c>
      <c r="E89" s="1" t="s">
        <v>15</v>
      </c>
      <c r="F89" s="1" t="s">
        <v>261</v>
      </c>
      <c r="G89" s="1" t="s">
        <v>719</v>
      </c>
      <c r="H89" s="1" t="s">
        <v>721</v>
      </c>
      <c r="I89" s="1" t="s">
        <v>21</v>
      </c>
      <c r="J89" s="1" t="s">
        <v>723</v>
      </c>
      <c r="K89" s="2">
        <v>-68.8458386</v>
      </c>
      <c r="L89" s="2">
        <v>-32.8894587</v>
      </c>
    </row>
    <row r="90">
      <c r="A90" s="1">
        <v>1308.0</v>
      </c>
      <c r="B90" s="1" t="s">
        <v>248</v>
      </c>
      <c r="C90" s="1">
        <v>10.0</v>
      </c>
      <c r="D90" s="1" t="s">
        <v>64</v>
      </c>
      <c r="E90" s="1" t="s">
        <v>15</v>
      </c>
      <c r="F90" s="1" t="s">
        <v>261</v>
      </c>
      <c r="G90" s="1" t="s">
        <v>728</v>
      </c>
      <c r="H90" s="1" t="s">
        <v>728</v>
      </c>
      <c r="I90" s="1" t="s">
        <v>21</v>
      </c>
      <c r="J90" s="1" t="s">
        <v>729</v>
      </c>
      <c r="K90" s="2">
        <v>-68.8420336</v>
      </c>
      <c r="L90" s="2">
        <v>-32.89297640000001</v>
      </c>
    </row>
    <row r="91">
      <c r="A91" s="1">
        <v>1313.0</v>
      </c>
      <c r="B91" s="1" t="s">
        <v>248</v>
      </c>
      <c r="C91" s="1">
        <v>11.0</v>
      </c>
      <c r="D91" s="1" t="s">
        <v>733</v>
      </c>
      <c r="E91" s="1" t="s">
        <v>15</v>
      </c>
      <c r="F91" s="1" t="s">
        <v>261</v>
      </c>
      <c r="G91" s="1" t="s">
        <v>734</v>
      </c>
      <c r="H91" s="1" t="s">
        <v>734</v>
      </c>
      <c r="I91" s="1" t="s">
        <v>21</v>
      </c>
      <c r="J91" s="1" t="s">
        <v>736</v>
      </c>
      <c r="K91" s="2">
        <v>-68.8458386</v>
      </c>
      <c r="L91" s="2">
        <v>-32.8894587</v>
      </c>
    </row>
    <row r="92">
      <c r="A92" s="1">
        <v>1315.0</v>
      </c>
      <c r="B92" s="1" t="s">
        <v>248</v>
      </c>
      <c r="C92" s="1">
        <v>11.0</v>
      </c>
      <c r="D92" s="1" t="s">
        <v>739</v>
      </c>
      <c r="E92" s="1" t="s">
        <v>15</v>
      </c>
      <c r="F92" s="1" t="s">
        <v>261</v>
      </c>
      <c r="G92" s="1" t="s">
        <v>741</v>
      </c>
      <c r="H92" s="1" t="s">
        <v>741</v>
      </c>
      <c r="I92" s="1" t="s">
        <v>21</v>
      </c>
      <c r="J92" s="1" t="s">
        <v>743</v>
      </c>
      <c r="K92" s="2">
        <v>-68.8458386</v>
      </c>
      <c r="L92" s="2">
        <v>-32.8894587</v>
      </c>
    </row>
    <row r="93">
      <c r="A93" s="1">
        <v>1317.0</v>
      </c>
      <c r="B93" s="1" t="s">
        <v>248</v>
      </c>
      <c r="C93" s="1">
        <v>11.0</v>
      </c>
      <c r="D93" s="1" t="s">
        <v>746</v>
      </c>
      <c r="E93" s="1" t="s">
        <v>15</v>
      </c>
      <c r="F93" s="1" t="s">
        <v>261</v>
      </c>
      <c r="G93" s="1" t="s">
        <v>748</v>
      </c>
      <c r="H93" s="1" t="s">
        <v>748</v>
      </c>
      <c r="I93" s="1" t="s">
        <v>21</v>
      </c>
      <c r="J93" s="1" t="s">
        <v>749</v>
      </c>
      <c r="K93" s="2">
        <v>-68.841596</v>
      </c>
      <c r="L93" s="2">
        <v>-32.889392</v>
      </c>
    </row>
    <row r="94">
      <c r="A94" s="1">
        <v>1341.0</v>
      </c>
      <c r="B94" s="1" t="s">
        <v>248</v>
      </c>
      <c r="C94" s="1">
        <v>15.0</v>
      </c>
      <c r="D94" s="1" t="s">
        <v>448</v>
      </c>
      <c r="E94" s="1" t="s">
        <v>15</v>
      </c>
      <c r="F94" s="1" t="s">
        <v>261</v>
      </c>
      <c r="G94" s="1" t="s">
        <v>753</v>
      </c>
      <c r="H94" s="1" t="s">
        <v>753</v>
      </c>
      <c r="I94" s="1" t="s">
        <v>21</v>
      </c>
      <c r="J94" s="1" t="s">
        <v>754</v>
      </c>
      <c r="K94" s="2">
        <v>-68.8420336</v>
      </c>
      <c r="L94" s="2">
        <v>-32.89297640000001</v>
      </c>
    </row>
    <row r="95">
      <c r="A95" s="1">
        <v>1663.0</v>
      </c>
      <c r="D95" s="1" t="s">
        <v>757</v>
      </c>
      <c r="E95" s="1" t="s">
        <v>15</v>
      </c>
      <c r="F95" s="1" t="s">
        <v>261</v>
      </c>
      <c r="G95" s="1" t="s">
        <v>759</v>
      </c>
      <c r="I95" s="1" t="s">
        <v>21</v>
      </c>
      <c r="J95" s="1" t="s">
        <v>760</v>
      </c>
      <c r="K95" s="2">
        <v>-68.8414817</v>
      </c>
      <c r="L95" s="2">
        <v>-32.8975482</v>
      </c>
    </row>
    <row r="96">
      <c r="A96" s="1">
        <v>1667.0</v>
      </c>
      <c r="D96" s="1" t="s">
        <v>762</v>
      </c>
      <c r="E96" s="1" t="s">
        <v>15</v>
      </c>
      <c r="F96" s="1" t="s">
        <v>261</v>
      </c>
      <c r="G96" s="1" t="s">
        <v>764</v>
      </c>
      <c r="I96" s="1" t="s">
        <v>21</v>
      </c>
      <c r="J96" s="1" t="s">
        <v>766</v>
      </c>
      <c r="K96" s="2">
        <v>-68.8424258</v>
      </c>
      <c r="L96" s="2">
        <v>-32.8856047</v>
      </c>
    </row>
    <row r="97">
      <c r="A97" s="1">
        <v>1669.0</v>
      </c>
      <c r="D97" s="1" t="s">
        <v>768</v>
      </c>
      <c r="E97" s="1" t="s">
        <v>15</v>
      </c>
      <c r="F97" s="1" t="s">
        <v>261</v>
      </c>
      <c r="G97" s="1" t="s">
        <v>771</v>
      </c>
      <c r="I97" s="1" t="s">
        <v>21</v>
      </c>
      <c r="J97" s="1" t="s">
        <v>773</v>
      </c>
      <c r="K97" s="2">
        <v>-68.826084</v>
      </c>
      <c r="L97" s="2">
        <v>-32.844217</v>
      </c>
    </row>
    <row r="98">
      <c r="A98" s="1">
        <v>1670.0</v>
      </c>
      <c r="D98" s="1" t="s">
        <v>776</v>
      </c>
      <c r="E98" s="1" t="s">
        <v>15</v>
      </c>
      <c r="F98" s="1" t="s">
        <v>261</v>
      </c>
      <c r="G98" s="1" t="s">
        <v>778</v>
      </c>
      <c r="I98" s="1" t="s">
        <v>21</v>
      </c>
      <c r="J98" s="1" t="s">
        <v>780</v>
      </c>
      <c r="K98" s="2">
        <v>-68.80368899999999</v>
      </c>
      <c r="L98" s="2">
        <v>-32.8423438</v>
      </c>
    </row>
    <row r="99">
      <c r="A99" s="1">
        <v>1671.0</v>
      </c>
      <c r="D99" s="1" t="s">
        <v>782</v>
      </c>
      <c r="E99" s="1" t="s">
        <v>15</v>
      </c>
      <c r="F99" s="1" t="s">
        <v>261</v>
      </c>
      <c r="G99" s="1" t="s">
        <v>786</v>
      </c>
      <c r="I99" s="1" t="s">
        <v>21</v>
      </c>
      <c r="J99" s="1" t="s">
        <v>791</v>
      </c>
      <c r="K99" s="2">
        <v>-68.8072798</v>
      </c>
      <c r="L99" s="2">
        <v>-32.8555617</v>
      </c>
    </row>
    <row r="100">
      <c r="A100" s="1">
        <v>1672.0</v>
      </c>
      <c r="D100" s="1" t="s">
        <v>794</v>
      </c>
      <c r="E100" s="1" t="s">
        <v>15</v>
      </c>
      <c r="F100" s="1" t="s">
        <v>261</v>
      </c>
      <c r="G100" s="1" t="s">
        <v>797</v>
      </c>
      <c r="I100" s="1" t="s">
        <v>21</v>
      </c>
      <c r="J100" s="1" t="s">
        <v>798</v>
      </c>
      <c r="K100" s="2">
        <v>-68.8416479</v>
      </c>
      <c r="L100" s="2">
        <v>-32.885455</v>
      </c>
    </row>
    <row r="101">
      <c r="A101" s="1">
        <v>1673.0</v>
      </c>
      <c r="D101" s="1" t="s">
        <v>801</v>
      </c>
      <c r="E101" s="1" t="s">
        <v>15</v>
      </c>
      <c r="F101" s="1" t="s">
        <v>261</v>
      </c>
      <c r="G101" s="1" t="s">
        <v>805</v>
      </c>
      <c r="I101" s="1" t="s">
        <v>21</v>
      </c>
      <c r="J101" s="1" t="s">
        <v>807</v>
      </c>
      <c r="K101" s="2">
        <v>-68.836103</v>
      </c>
      <c r="L101" s="2">
        <v>-32.890879</v>
      </c>
    </row>
    <row r="102">
      <c r="A102" s="1">
        <v>1674.0</v>
      </c>
      <c r="D102" s="1" t="s">
        <v>810</v>
      </c>
      <c r="E102" s="1" t="s">
        <v>15</v>
      </c>
      <c r="F102" s="1" t="s">
        <v>261</v>
      </c>
      <c r="G102" s="1" t="s">
        <v>813</v>
      </c>
      <c r="I102" s="1" t="s">
        <v>21</v>
      </c>
      <c r="J102" s="1" t="s">
        <v>814</v>
      </c>
      <c r="K102" s="2">
        <v>-68.8416479</v>
      </c>
      <c r="L102" s="2">
        <v>-32.885455</v>
      </c>
    </row>
    <row r="103">
      <c r="A103" s="1">
        <v>1675.0</v>
      </c>
      <c r="D103" s="1" t="s">
        <v>819</v>
      </c>
      <c r="E103" s="1" t="s">
        <v>15</v>
      </c>
      <c r="F103" s="1" t="s">
        <v>261</v>
      </c>
      <c r="G103" s="1" t="s">
        <v>821</v>
      </c>
      <c r="I103" s="1" t="s">
        <v>21</v>
      </c>
      <c r="J103" s="1" t="s">
        <v>822</v>
      </c>
      <c r="K103" s="2">
        <v>-68.84156349999999</v>
      </c>
      <c r="L103" s="2">
        <v>-32.8851105</v>
      </c>
    </row>
    <row r="104">
      <c r="A104" s="1">
        <v>1676.0</v>
      </c>
      <c r="D104" s="1" t="s">
        <v>825</v>
      </c>
      <c r="E104" s="1" t="s">
        <v>15</v>
      </c>
      <c r="F104" s="1" t="s">
        <v>261</v>
      </c>
      <c r="G104" s="1" t="s">
        <v>828</v>
      </c>
      <c r="I104" s="1" t="s">
        <v>21</v>
      </c>
      <c r="J104" s="1" t="s">
        <v>830</v>
      </c>
      <c r="K104" s="2">
        <v>-68.8416479</v>
      </c>
      <c r="L104" s="2">
        <v>-32.885455</v>
      </c>
    </row>
    <row r="105">
      <c r="A105" s="1">
        <v>1678.0</v>
      </c>
      <c r="D105" s="1" t="s">
        <v>833</v>
      </c>
      <c r="E105" s="1" t="s">
        <v>15</v>
      </c>
      <c r="F105" s="1" t="s">
        <v>261</v>
      </c>
      <c r="G105" s="1" t="s">
        <v>835</v>
      </c>
      <c r="I105" s="1" t="s">
        <v>21</v>
      </c>
      <c r="J105" s="1" t="s">
        <v>837</v>
      </c>
      <c r="K105" s="2">
        <v>-68.8320739</v>
      </c>
      <c r="L105" s="2">
        <v>-32.84339</v>
      </c>
    </row>
    <row r="106">
      <c r="A106" s="1">
        <v>1682.0</v>
      </c>
      <c r="D106" s="1" t="s">
        <v>841</v>
      </c>
      <c r="E106" s="1" t="s">
        <v>15</v>
      </c>
      <c r="F106" s="1" t="s">
        <v>261</v>
      </c>
      <c r="G106" s="1" t="s">
        <v>844</v>
      </c>
      <c r="I106" s="1" t="s">
        <v>21</v>
      </c>
      <c r="J106" s="1" t="s">
        <v>846</v>
      </c>
      <c r="K106" s="2">
        <v>-68.8416479</v>
      </c>
      <c r="L106" s="2">
        <v>-32.885455</v>
      </c>
    </row>
    <row r="107">
      <c r="A107" s="1">
        <v>1683.0</v>
      </c>
      <c r="D107" s="1" t="s">
        <v>847</v>
      </c>
      <c r="E107" s="1" t="s">
        <v>15</v>
      </c>
      <c r="F107" s="1" t="s">
        <v>261</v>
      </c>
      <c r="G107" s="1" t="s">
        <v>850</v>
      </c>
      <c r="I107" s="1" t="s">
        <v>21</v>
      </c>
      <c r="J107" s="1" t="s">
        <v>852</v>
      </c>
      <c r="K107" s="2">
        <v>-68.84156349999999</v>
      </c>
      <c r="L107" s="2">
        <v>-32.8851105</v>
      </c>
    </row>
    <row r="108">
      <c r="A108" s="1">
        <v>1684.0</v>
      </c>
      <c r="D108" s="1" t="s">
        <v>855</v>
      </c>
      <c r="E108" s="1" t="s">
        <v>15</v>
      </c>
      <c r="F108" s="1" t="s">
        <v>261</v>
      </c>
      <c r="G108" s="1" t="s">
        <v>858</v>
      </c>
      <c r="I108" s="1" t="s">
        <v>21</v>
      </c>
      <c r="J108" s="1" t="s">
        <v>860</v>
      </c>
      <c r="K108" s="2">
        <v>-68.84156349999999</v>
      </c>
      <c r="L108" s="2">
        <v>-32.8851105</v>
      </c>
    </row>
    <row r="109">
      <c r="A109" s="1">
        <v>1687.0</v>
      </c>
      <c r="D109" s="1" t="s">
        <v>865</v>
      </c>
      <c r="E109" s="1" t="s">
        <v>15</v>
      </c>
      <c r="F109" s="1" t="s">
        <v>261</v>
      </c>
      <c r="G109" s="1" t="s">
        <v>867</v>
      </c>
      <c r="I109" s="1" t="s">
        <v>21</v>
      </c>
      <c r="J109" s="1" t="s">
        <v>868</v>
      </c>
      <c r="K109" s="2">
        <v>-68.843868</v>
      </c>
      <c r="L109" s="2">
        <v>-32.885603</v>
      </c>
    </row>
    <row r="110">
      <c r="A110" s="1">
        <v>1688.0</v>
      </c>
      <c r="D110" s="1" t="s">
        <v>873</v>
      </c>
      <c r="E110" s="1" t="s">
        <v>15</v>
      </c>
      <c r="F110" s="1" t="s">
        <v>261</v>
      </c>
      <c r="G110" s="1" t="s">
        <v>876</v>
      </c>
      <c r="I110" s="1" t="s">
        <v>21</v>
      </c>
      <c r="J110" s="1" t="s">
        <v>877</v>
      </c>
      <c r="K110" s="2">
        <v>-68.8416479</v>
      </c>
      <c r="L110" s="2">
        <v>-32.885455</v>
      </c>
    </row>
    <row r="111">
      <c r="A111" s="1">
        <v>1689.0</v>
      </c>
      <c r="D111" s="1" t="s">
        <v>878</v>
      </c>
      <c r="E111" s="1" t="s">
        <v>15</v>
      </c>
      <c r="F111" s="1" t="s">
        <v>261</v>
      </c>
      <c r="G111" s="1" t="s">
        <v>880</v>
      </c>
      <c r="I111" s="1" t="s">
        <v>21</v>
      </c>
      <c r="J111" s="1" t="s">
        <v>882</v>
      </c>
      <c r="K111" s="2">
        <v>-68.84156349999999</v>
      </c>
      <c r="L111" s="2">
        <v>-32.8851105</v>
      </c>
    </row>
    <row r="112">
      <c r="A112" s="1">
        <v>1690.0</v>
      </c>
      <c r="D112" s="1" t="s">
        <v>884</v>
      </c>
      <c r="E112" s="1" t="s">
        <v>15</v>
      </c>
      <c r="F112" s="1" t="s">
        <v>261</v>
      </c>
      <c r="G112" s="1" t="s">
        <v>886</v>
      </c>
      <c r="I112" s="1" t="s">
        <v>21</v>
      </c>
      <c r="J112" s="1" t="s">
        <v>887</v>
      </c>
      <c r="K112" s="2">
        <v>-69.0648973</v>
      </c>
      <c r="L112" s="2">
        <v>-33.0470867</v>
      </c>
    </row>
    <row r="113">
      <c r="A113" s="1">
        <v>1691.0</v>
      </c>
      <c r="D113" s="1" t="s">
        <v>890</v>
      </c>
      <c r="E113" s="1" t="s">
        <v>15</v>
      </c>
      <c r="F113" s="1" t="s">
        <v>261</v>
      </c>
      <c r="G113" s="1" t="s">
        <v>891</v>
      </c>
      <c r="I113" s="1" t="s">
        <v>21</v>
      </c>
      <c r="J113" s="1" t="s">
        <v>893</v>
      </c>
      <c r="K113" s="2">
        <v>-68.8416479</v>
      </c>
      <c r="L113" s="2">
        <v>-32.885455</v>
      </c>
    </row>
    <row r="114">
      <c r="A114" s="1">
        <v>1692.0</v>
      </c>
      <c r="D114" s="1" t="s">
        <v>895</v>
      </c>
      <c r="E114" s="1" t="s">
        <v>15</v>
      </c>
      <c r="F114" s="1" t="s">
        <v>261</v>
      </c>
      <c r="G114" s="1" t="s">
        <v>897</v>
      </c>
      <c r="I114" s="1" t="s">
        <v>21</v>
      </c>
      <c r="J114" s="1" t="s">
        <v>898</v>
      </c>
      <c r="K114" s="2">
        <v>-68.8606792</v>
      </c>
      <c r="L114" s="2">
        <v>-32.9241371</v>
      </c>
    </row>
    <row r="115">
      <c r="A115" s="1">
        <v>1693.0</v>
      </c>
      <c r="D115" s="1" t="s">
        <v>847</v>
      </c>
      <c r="E115" s="1" t="s">
        <v>15</v>
      </c>
      <c r="F115" s="1" t="s">
        <v>261</v>
      </c>
      <c r="G115" s="1" t="s">
        <v>901</v>
      </c>
      <c r="I115" s="1" t="s">
        <v>21</v>
      </c>
      <c r="J115" s="1" t="s">
        <v>902</v>
      </c>
      <c r="K115" s="2">
        <v>-68.8416479</v>
      </c>
      <c r="L115" s="2">
        <v>-32.885455</v>
      </c>
    </row>
    <row r="116">
      <c r="A116" s="1">
        <v>19.0</v>
      </c>
      <c r="B116" s="1" t="s">
        <v>12</v>
      </c>
      <c r="C116" s="1">
        <v>4.0</v>
      </c>
      <c r="D116" s="1" t="s">
        <v>904</v>
      </c>
      <c r="E116" s="1" t="s">
        <v>15</v>
      </c>
      <c r="F116" s="1" t="s">
        <v>906</v>
      </c>
      <c r="G116" s="1" t="s">
        <v>907</v>
      </c>
      <c r="H116" s="1" t="s">
        <v>907</v>
      </c>
      <c r="I116" s="1" t="s">
        <v>21</v>
      </c>
      <c r="J116" s="1" t="s">
        <v>909</v>
      </c>
      <c r="K116" s="2">
        <v>-68.854208</v>
      </c>
      <c r="L116" s="2">
        <v>-32.883617</v>
      </c>
    </row>
    <row r="117">
      <c r="A117" s="1">
        <v>432.0</v>
      </c>
      <c r="B117" s="1" t="s">
        <v>24</v>
      </c>
      <c r="C117" s="1">
        <v>9.0</v>
      </c>
      <c r="D117" s="1" t="s">
        <v>911</v>
      </c>
      <c r="E117" s="1" t="s">
        <v>15</v>
      </c>
      <c r="F117" s="1" t="s">
        <v>906</v>
      </c>
      <c r="G117" s="1" t="s">
        <v>912</v>
      </c>
      <c r="H117" s="1" t="s">
        <v>912</v>
      </c>
      <c r="I117" s="1" t="s">
        <v>21</v>
      </c>
      <c r="J117" s="1" t="s">
        <v>914</v>
      </c>
      <c r="K117" s="2">
        <v>-68.859951</v>
      </c>
      <c r="L117" s="2">
        <v>-32.89148</v>
      </c>
    </row>
    <row r="118">
      <c r="A118" s="1">
        <v>455.0</v>
      </c>
      <c r="B118" s="1" t="s">
        <v>24</v>
      </c>
      <c r="C118" s="1">
        <v>11.0</v>
      </c>
      <c r="D118" s="1" t="s">
        <v>917</v>
      </c>
      <c r="E118" s="1" t="s">
        <v>15</v>
      </c>
      <c r="F118" s="1" t="s">
        <v>906</v>
      </c>
      <c r="G118" s="1" t="s">
        <v>918</v>
      </c>
      <c r="H118" s="1" t="s">
        <v>918</v>
      </c>
      <c r="I118" s="1" t="s">
        <v>21</v>
      </c>
      <c r="J118" s="1" t="s">
        <v>919</v>
      </c>
      <c r="K118" s="2">
        <v>-68.8553247</v>
      </c>
      <c r="L118" s="2">
        <v>-32.892416</v>
      </c>
    </row>
    <row r="119">
      <c r="A119" s="1">
        <v>880.0</v>
      </c>
      <c r="B119" s="1" t="s">
        <v>55</v>
      </c>
      <c r="C119" s="1">
        <v>9.0</v>
      </c>
      <c r="D119" s="1" t="s">
        <v>922</v>
      </c>
      <c r="E119" s="1" t="s">
        <v>15</v>
      </c>
      <c r="F119" s="1" t="s">
        <v>906</v>
      </c>
      <c r="G119" s="1" t="s">
        <v>924</v>
      </c>
      <c r="H119" s="1" t="s">
        <v>924</v>
      </c>
      <c r="I119" s="1" t="s">
        <v>21</v>
      </c>
      <c r="J119" s="1" t="s">
        <v>925</v>
      </c>
      <c r="K119" s="2">
        <v>-68.8422398</v>
      </c>
      <c r="L119" s="2">
        <v>-32.8857136</v>
      </c>
    </row>
    <row r="120">
      <c r="A120" s="1">
        <v>917.0</v>
      </c>
      <c r="B120" s="1" t="s">
        <v>55</v>
      </c>
      <c r="C120" s="1">
        <v>13.0</v>
      </c>
      <c r="D120" s="1" t="s">
        <v>922</v>
      </c>
      <c r="E120" s="1" t="s">
        <v>15</v>
      </c>
      <c r="F120" s="1" t="s">
        <v>906</v>
      </c>
      <c r="G120" s="1" t="s">
        <v>928</v>
      </c>
      <c r="H120" s="1" t="s">
        <v>928</v>
      </c>
      <c r="I120" s="1" t="s">
        <v>21</v>
      </c>
      <c r="J120" s="1" t="s">
        <v>930</v>
      </c>
      <c r="K120" s="2">
        <v>-68.84218779999999</v>
      </c>
      <c r="L120" s="2">
        <v>-32.8857326</v>
      </c>
    </row>
    <row r="121">
      <c r="A121" s="1">
        <v>1021.0</v>
      </c>
      <c r="B121" s="1" t="s">
        <v>62</v>
      </c>
      <c r="C121" s="1">
        <v>7.0</v>
      </c>
      <c r="D121" s="1" t="s">
        <v>931</v>
      </c>
      <c r="E121" s="1" t="s">
        <v>15</v>
      </c>
      <c r="F121" s="1" t="s">
        <v>906</v>
      </c>
      <c r="G121" s="1" t="s">
        <v>933</v>
      </c>
      <c r="H121" s="1" t="s">
        <v>933</v>
      </c>
      <c r="I121" s="1" t="s">
        <v>21</v>
      </c>
      <c r="J121" s="1" t="s">
        <v>934</v>
      </c>
      <c r="K121" s="2">
        <v>-68.848975</v>
      </c>
      <c r="L121" s="2">
        <v>-32.893242</v>
      </c>
    </row>
    <row r="122">
      <c r="A122" s="1">
        <v>1081.0</v>
      </c>
      <c r="B122" s="1" t="s">
        <v>62</v>
      </c>
      <c r="C122" s="1">
        <v>13.0</v>
      </c>
      <c r="D122" s="1" t="s">
        <v>922</v>
      </c>
      <c r="E122" s="1" t="s">
        <v>15</v>
      </c>
      <c r="F122" s="1" t="s">
        <v>906</v>
      </c>
      <c r="G122" s="1" t="s">
        <v>333</v>
      </c>
      <c r="H122" s="1" t="s">
        <v>937</v>
      </c>
      <c r="I122" s="1" t="s">
        <v>21</v>
      </c>
      <c r="J122" s="1" t="s">
        <v>336</v>
      </c>
      <c r="K122" s="2">
        <v>-68.84492</v>
      </c>
      <c r="L122" s="2">
        <v>-32.8945299</v>
      </c>
    </row>
    <row r="123">
      <c r="A123" s="1">
        <v>1274.0</v>
      </c>
      <c r="B123" s="1" t="s">
        <v>248</v>
      </c>
      <c r="C123" s="1">
        <v>6.0</v>
      </c>
      <c r="D123" s="1" t="s">
        <v>941</v>
      </c>
      <c r="E123" s="1" t="s">
        <v>15</v>
      </c>
      <c r="F123" s="1" t="s">
        <v>906</v>
      </c>
      <c r="G123" s="1" t="s">
        <v>942</v>
      </c>
      <c r="H123" s="1" t="s">
        <v>942</v>
      </c>
      <c r="I123" s="1" t="s">
        <v>21</v>
      </c>
      <c r="J123" s="1" t="s">
        <v>943</v>
      </c>
      <c r="K123" s="2">
        <v>-68.8458386</v>
      </c>
      <c r="L123" s="2">
        <v>-32.8894587</v>
      </c>
    </row>
    <row r="124">
      <c r="A124" s="1">
        <v>17.0</v>
      </c>
      <c r="B124" s="1" t="s">
        <v>12</v>
      </c>
      <c r="C124" s="1">
        <v>4.0</v>
      </c>
      <c r="D124" s="1" t="s">
        <v>946</v>
      </c>
      <c r="E124" s="1" t="s">
        <v>15</v>
      </c>
      <c r="F124" s="1" t="s">
        <v>947</v>
      </c>
      <c r="G124" s="1" t="s">
        <v>948</v>
      </c>
      <c r="H124" s="1" t="s">
        <v>948</v>
      </c>
      <c r="I124" s="1" t="s">
        <v>21</v>
      </c>
      <c r="J124" s="1" t="s">
        <v>949</v>
      </c>
      <c r="K124" s="2">
        <v>-68.853461</v>
      </c>
      <c r="L124" s="2">
        <v>-32.8836329</v>
      </c>
    </row>
    <row r="125">
      <c r="A125" s="1">
        <v>42.0</v>
      </c>
      <c r="B125" s="1" t="s">
        <v>12</v>
      </c>
      <c r="C125" s="1">
        <v>8.0</v>
      </c>
      <c r="D125" s="1" t="s">
        <v>951</v>
      </c>
      <c r="E125" s="1" t="s">
        <v>15</v>
      </c>
      <c r="F125" s="1" t="s">
        <v>947</v>
      </c>
      <c r="G125" s="1" t="s">
        <v>952</v>
      </c>
      <c r="H125" s="1" t="s">
        <v>952</v>
      </c>
      <c r="I125" s="1" t="s">
        <v>21</v>
      </c>
      <c r="J125" s="1" t="s">
        <v>953</v>
      </c>
      <c r="K125" s="2">
        <v>-68.85781</v>
      </c>
      <c r="L125" s="2">
        <v>-32.88368</v>
      </c>
    </row>
    <row r="126">
      <c r="A126" s="1">
        <v>128.0</v>
      </c>
      <c r="B126" s="1" t="s">
        <v>29</v>
      </c>
      <c r="C126" s="1">
        <v>6.0</v>
      </c>
      <c r="D126" s="1" t="s">
        <v>956</v>
      </c>
      <c r="E126" s="1" t="s">
        <v>15</v>
      </c>
      <c r="F126" s="1" t="s">
        <v>947</v>
      </c>
      <c r="G126" s="1" t="s">
        <v>957</v>
      </c>
      <c r="H126" s="1" t="s">
        <v>957</v>
      </c>
      <c r="I126" s="1" t="s">
        <v>21</v>
      </c>
      <c r="J126" s="1" t="s">
        <v>958</v>
      </c>
      <c r="K126" s="2">
        <v>-68.84084849999999</v>
      </c>
      <c r="L126" s="2">
        <v>-32.8899379</v>
      </c>
    </row>
    <row r="127">
      <c r="A127" s="1">
        <v>140.0</v>
      </c>
      <c r="B127" s="1" t="s">
        <v>29</v>
      </c>
      <c r="C127" s="1">
        <v>6.0</v>
      </c>
      <c r="D127" s="1" t="s">
        <v>960</v>
      </c>
      <c r="E127" s="1" t="s">
        <v>15</v>
      </c>
      <c r="F127" s="1" t="s">
        <v>947</v>
      </c>
      <c r="G127" s="1" t="s">
        <v>962</v>
      </c>
      <c r="H127" s="1" t="s">
        <v>962</v>
      </c>
      <c r="I127" s="1" t="s">
        <v>21</v>
      </c>
      <c r="J127" s="1" t="s">
        <v>965</v>
      </c>
      <c r="K127" s="2">
        <v>-68.84000449999999</v>
      </c>
      <c r="L127" s="2">
        <v>-32.890499</v>
      </c>
    </row>
    <row r="128">
      <c r="A128" s="1">
        <v>172.0</v>
      </c>
      <c r="B128" s="1" t="s">
        <v>29</v>
      </c>
      <c r="C128" s="1">
        <v>8.0</v>
      </c>
      <c r="D128" s="1" t="s">
        <v>967</v>
      </c>
      <c r="E128" s="1" t="s">
        <v>15</v>
      </c>
      <c r="F128" s="1" t="s">
        <v>947</v>
      </c>
      <c r="G128" s="3" t="s">
        <v>972</v>
      </c>
      <c r="H128" s="3" t="s">
        <v>972</v>
      </c>
      <c r="I128" s="1" t="s">
        <v>21</v>
      </c>
      <c r="J128" s="1" t="s">
        <v>976</v>
      </c>
      <c r="K128" s="2">
        <v>-68.8413034</v>
      </c>
      <c r="L128" s="2">
        <v>-32.89224280000001</v>
      </c>
    </row>
    <row r="129">
      <c r="A129" s="1">
        <v>279.0</v>
      </c>
      <c r="B129" s="1" t="s">
        <v>51</v>
      </c>
      <c r="C129" s="1">
        <v>2.0</v>
      </c>
      <c r="D129" s="1" t="s">
        <v>960</v>
      </c>
      <c r="E129" s="1" t="s">
        <v>15</v>
      </c>
      <c r="F129" s="1" t="s">
        <v>947</v>
      </c>
      <c r="G129" s="1" t="s">
        <v>979</v>
      </c>
      <c r="H129" s="1" t="s">
        <v>979</v>
      </c>
      <c r="I129" s="1" t="s">
        <v>21</v>
      </c>
      <c r="J129" s="1" t="s">
        <v>981</v>
      </c>
      <c r="K129" s="2">
        <v>-68.84000449999999</v>
      </c>
      <c r="L129" s="2">
        <v>-32.890499</v>
      </c>
    </row>
    <row r="130">
      <c r="A130" s="1">
        <v>356.0</v>
      </c>
      <c r="B130" s="1" t="s">
        <v>154</v>
      </c>
      <c r="C130" s="1">
        <v>4.0</v>
      </c>
      <c r="D130" s="1" t="s">
        <v>960</v>
      </c>
      <c r="E130" s="1" t="s">
        <v>15</v>
      </c>
      <c r="F130" s="1" t="s">
        <v>947</v>
      </c>
      <c r="G130" s="1" t="s">
        <v>985</v>
      </c>
      <c r="H130" s="1" t="s">
        <v>985</v>
      </c>
      <c r="I130" s="1" t="s">
        <v>21</v>
      </c>
      <c r="J130" s="1" t="s">
        <v>986</v>
      </c>
      <c r="K130" s="2">
        <v>-68.848291</v>
      </c>
      <c r="L130" s="2">
        <v>-32.889066</v>
      </c>
    </row>
    <row r="131">
      <c r="A131" s="1">
        <v>466.0</v>
      </c>
      <c r="B131" s="1" t="s">
        <v>24</v>
      </c>
      <c r="C131" s="1">
        <v>12.0</v>
      </c>
      <c r="D131" s="1" t="s">
        <v>989</v>
      </c>
      <c r="E131" s="1" t="s">
        <v>15</v>
      </c>
      <c r="F131" s="1" t="s">
        <v>947</v>
      </c>
      <c r="G131" s="1" t="s">
        <v>101</v>
      </c>
      <c r="H131" s="1" t="s">
        <v>991</v>
      </c>
      <c r="I131" s="1" t="s">
        <v>21</v>
      </c>
      <c r="J131" s="1" t="s">
        <v>104</v>
      </c>
      <c r="K131" s="2">
        <v>-68.85321739999999</v>
      </c>
      <c r="L131" s="2">
        <v>-32.8927552</v>
      </c>
    </row>
    <row r="132">
      <c r="A132" s="1">
        <v>783.0</v>
      </c>
      <c r="B132" s="1" t="s">
        <v>55</v>
      </c>
      <c r="C132" s="1">
        <v>1.0</v>
      </c>
      <c r="D132" s="1" t="s">
        <v>995</v>
      </c>
      <c r="E132" s="1" t="s">
        <v>15</v>
      </c>
      <c r="F132" s="1" t="s">
        <v>947</v>
      </c>
      <c r="G132" s="1" t="s">
        <v>996</v>
      </c>
      <c r="H132" s="1" t="s">
        <v>996</v>
      </c>
      <c r="I132" s="1" t="s">
        <v>21</v>
      </c>
      <c r="J132" s="1" t="s">
        <v>997</v>
      </c>
      <c r="K132" s="2">
        <v>-68.8385888</v>
      </c>
      <c r="L132" s="2">
        <v>-32.8861048</v>
      </c>
    </row>
    <row r="133">
      <c r="A133" s="1">
        <v>795.0</v>
      </c>
      <c r="B133" s="1" t="s">
        <v>55</v>
      </c>
      <c r="C133" s="1">
        <v>1.0</v>
      </c>
      <c r="D133" s="1" t="s">
        <v>1000</v>
      </c>
      <c r="E133" s="1" t="s">
        <v>15</v>
      </c>
      <c r="F133" s="1" t="s">
        <v>947</v>
      </c>
      <c r="G133" s="1" t="s">
        <v>1001</v>
      </c>
      <c r="H133" s="1" t="s">
        <v>1001</v>
      </c>
      <c r="I133" s="1" t="s">
        <v>21</v>
      </c>
      <c r="J133" s="1" t="s">
        <v>1003</v>
      </c>
      <c r="K133" s="2">
        <v>-68.8391939</v>
      </c>
      <c r="L133" s="2">
        <v>-32.885864</v>
      </c>
    </row>
    <row r="134">
      <c r="A134" s="1">
        <v>850.0</v>
      </c>
      <c r="B134" s="1" t="s">
        <v>55</v>
      </c>
      <c r="C134" s="1">
        <v>5.0</v>
      </c>
      <c r="D134" s="1" t="s">
        <v>1007</v>
      </c>
      <c r="E134" s="1" t="s">
        <v>15</v>
      </c>
      <c r="F134" s="1" t="s">
        <v>947</v>
      </c>
      <c r="G134" s="1" t="s">
        <v>1008</v>
      </c>
      <c r="H134" s="1" t="s">
        <v>1008</v>
      </c>
      <c r="I134" s="1" t="s">
        <v>21</v>
      </c>
      <c r="J134" s="1" t="s">
        <v>1009</v>
      </c>
      <c r="K134" s="2">
        <v>-68.843878</v>
      </c>
      <c r="L134" s="2">
        <v>-32.885095</v>
      </c>
    </row>
    <row r="135">
      <c r="A135" s="1">
        <v>856.0</v>
      </c>
      <c r="B135" s="1" t="s">
        <v>55</v>
      </c>
      <c r="C135" s="1">
        <v>5.0</v>
      </c>
      <c r="D135" s="1" t="s">
        <v>1011</v>
      </c>
      <c r="E135" s="1" t="s">
        <v>15</v>
      </c>
      <c r="F135" s="1" t="s">
        <v>947</v>
      </c>
      <c r="G135" s="1" t="s">
        <v>1013</v>
      </c>
      <c r="H135" s="1" t="s">
        <v>1013</v>
      </c>
      <c r="I135" s="1" t="s">
        <v>21</v>
      </c>
      <c r="J135" s="1" t="s">
        <v>1015</v>
      </c>
      <c r="K135" s="2">
        <v>-68.8444559</v>
      </c>
      <c r="L135" s="2">
        <v>-32.884935</v>
      </c>
    </row>
    <row r="136">
      <c r="B136" s="1" t="s">
        <v>62</v>
      </c>
      <c r="C136" s="1">
        <v>10.0</v>
      </c>
      <c r="D136" s="1" t="s">
        <v>1017</v>
      </c>
      <c r="E136" s="1" t="s">
        <v>15</v>
      </c>
      <c r="F136" s="1" t="s">
        <v>947</v>
      </c>
      <c r="G136" s="1" t="s">
        <v>1019</v>
      </c>
      <c r="H136" s="1" t="s">
        <v>1019</v>
      </c>
      <c r="I136" s="1" t="s">
        <v>21</v>
      </c>
      <c r="J136" s="1" t="s">
        <v>1021</v>
      </c>
      <c r="K136" s="2">
        <v>-68.8491992</v>
      </c>
      <c r="L136" s="2">
        <v>-32.8932364</v>
      </c>
    </row>
    <row r="137">
      <c r="A137" s="1">
        <v>1074.0</v>
      </c>
      <c r="B137" s="1" t="s">
        <v>62</v>
      </c>
      <c r="C137" s="1">
        <v>13.0</v>
      </c>
      <c r="D137" s="1" t="s">
        <v>1022</v>
      </c>
      <c r="E137" s="1" t="s">
        <v>15</v>
      </c>
      <c r="F137" s="1" t="s">
        <v>947</v>
      </c>
      <c r="G137" s="1" t="s">
        <v>1024</v>
      </c>
      <c r="H137" s="1" t="s">
        <v>1025</v>
      </c>
      <c r="I137" s="1" t="s">
        <v>21</v>
      </c>
      <c r="J137" s="1" t="s">
        <v>1027</v>
      </c>
      <c r="K137" s="2">
        <v>-68.8454418</v>
      </c>
      <c r="L137" s="2">
        <v>-32.8943231</v>
      </c>
    </row>
    <row r="138">
      <c r="A138" s="1">
        <v>1093.0</v>
      </c>
      <c r="B138" s="1" t="s">
        <v>62</v>
      </c>
      <c r="C138" s="1">
        <v>14.0</v>
      </c>
      <c r="D138" s="1" t="s">
        <v>1029</v>
      </c>
      <c r="E138" s="1" t="s">
        <v>15</v>
      </c>
      <c r="F138" s="1" t="s">
        <v>947</v>
      </c>
      <c r="G138" s="1" t="s">
        <v>629</v>
      </c>
      <c r="H138" s="1" t="s">
        <v>1030</v>
      </c>
      <c r="I138" s="1" t="s">
        <v>21</v>
      </c>
      <c r="J138" s="1" t="s">
        <v>632</v>
      </c>
      <c r="K138" s="2">
        <v>-68.8433716</v>
      </c>
      <c r="L138" s="2">
        <v>-32.8945966</v>
      </c>
    </row>
    <row r="139">
      <c r="B139" s="1" t="s">
        <v>227</v>
      </c>
      <c r="C139" s="1">
        <v>10.0</v>
      </c>
      <c r="D139" s="1" t="s">
        <v>1033</v>
      </c>
      <c r="E139" s="1" t="s">
        <v>15</v>
      </c>
      <c r="F139" s="1" t="s">
        <v>947</v>
      </c>
      <c r="G139" s="1" t="s">
        <v>1034</v>
      </c>
      <c r="H139" s="1" t="s">
        <v>1034</v>
      </c>
      <c r="I139" s="1" t="s">
        <v>21</v>
      </c>
      <c r="J139" s="1" t="s">
        <v>1035</v>
      </c>
      <c r="K139" s="2">
        <v>-68.8389045</v>
      </c>
      <c r="L139" s="2">
        <v>-32.88407250000001</v>
      </c>
    </row>
    <row r="140">
      <c r="A140" s="1">
        <v>1431.0</v>
      </c>
      <c r="D140" s="1" t="s">
        <v>1038</v>
      </c>
      <c r="E140" s="1" t="s">
        <v>15</v>
      </c>
      <c r="F140" s="1" t="s">
        <v>947</v>
      </c>
      <c r="G140" s="1" t="s">
        <v>1040</v>
      </c>
      <c r="I140" s="1" t="s">
        <v>21</v>
      </c>
      <c r="J140" s="1" t="s">
        <v>1041</v>
      </c>
      <c r="K140" s="2">
        <v>-68.8700868</v>
      </c>
      <c r="L140" s="2">
        <v>-32.8898095</v>
      </c>
    </row>
    <row r="141">
      <c r="A141" s="1">
        <v>1517.0</v>
      </c>
      <c r="D141" s="1" t="s">
        <v>1044</v>
      </c>
      <c r="E141" s="1" t="s">
        <v>15</v>
      </c>
      <c r="F141" s="1" t="s">
        <v>947</v>
      </c>
      <c r="G141" s="1" t="s">
        <v>1045</v>
      </c>
      <c r="I141" s="1" t="s">
        <v>21</v>
      </c>
      <c r="J141" s="1" t="s">
        <v>1046</v>
      </c>
      <c r="K141" s="2">
        <v>-68.8384789</v>
      </c>
      <c r="L141" s="2">
        <v>-32.888044</v>
      </c>
    </row>
    <row r="142">
      <c r="A142" s="1">
        <v>1579.0</v>
      </c>
      <c r="D142" s="1" t="s">
        <v>1048</v>
      </c>
      <c r="E142" s="1" t="s">
        <v>15</v>
      </c>
      <c r="F142" s="1" t="s">
        <v>947</v>
      </c>
      <c r="G142" s="1" t="s">
        <v>1050</v>
      </c>
      <c r="I142" s="1" t="s">
        <v>21</v>
      </c>
      <c r="J142" s="1" t="s">
        <v>1052</v>
      </c>
      <c r="K142" s="2">
        <v>-68.8379358</v>
      </c>
      <c r="L142" s="2">
        <v>-32.8844478</v>
      </c>
    </row>
    <row r="143">
      <c r="A143" s="1">
        <v>1694.0</v>
      </c>
      <c r="D143" s="1" t="s">
        <v>1054</v>
      </c>
      <c r="E143" s="1" t="s">
        <v>15</v>
      </c>
      <c r="F143" s="1" t="s">
        <v>947</v>
      </c>
      <c r="G143" s="1" t="s">
        <v>1056</v>
      </c>
      <c r="I143" s="1" t="s">
        <v>21</v>
      </c>
      <c r="J143" s="1" t="s">
        <v>1058</v>
      </c>
      <c r="K143" s="2">
        <v>-68.84156349999999</v>
      </c>
      <c r="L143" s="2">
        <v>-32.8851105</v>
      </c>
    </row>
    <row r="144">
      <c r="A144" s="1">
        <v>1695.0</v>
      </c>
      <c r="D144" s="1" t="s">
        <v>1061</v>
      </c>
      <c r="E144" s="1" t="s">
        <v>15</v>
      </c>
      <c r="F144" s="1" t="s">
        <v>947</v>
      </c>
      <c r="G144" s="1" t="s">
        <v>1062</v>
      </c>
      <c r="I144" s="1" t="s">
        <v>21</v>
      </c>
      <c r="J144" s="1" t="s">
        <v>1063</v>
      </c>
      <c r="K144" s="2">
        <v>-68.8383234</v>
      </c>
      <c r="L144" s="2">
        <v>-32.8891696</v>
      </c>
    </row>
    <row r="145">
      <c r="A145" s="1">
        <v>1696.0</v>
      </c>
      <c r="D145" s="1" t="s">
        <v>1064</v>
      </c>
      <c r="E145" s="1" t="s">
        <v>15</v>
      </c>
      <c r="F145" s="1" t="s">
        <v>947</v>
      </c>
      <c r="G145" s="1" t="s">
        <v>1065</v>
      </c>
      <c r="I145" s="1" t="s">
        <v>21</v>
      </c>
      <c r="J145" s="1" t="s">
        <v>1066</v>
      </c>
      <c r="K145" s="2">
        <v>-68.8416479</v>
      </c>
      <c r="L145" s="2">
        <v>-32.885455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O1" s="1" t="s">
        <v>1278</v>
      </c>
    </row>
    <row r="2">
      <c r="A2" s="1">
        <v>1.0</v>
      </c>
      <c r="B2" s="1" t="s">
        <v>12</v>
      </c>
      <c r="C2" s="1">
        <v>1.0</v>
      </c>
      <c r="D2" s="1" t="s">
        <v>3603</v>
      </c>
      <c r="E2" s="1" t="s">
        <v>3604</v>
      </c>
      <c r="F2" s="1" t="s">
        <v>3605</v>
      </c>
      <c r="G2" s="1" t="s">
        <v>3606</v>
      </c>
      <c r="H2" s="1" t="s">
        <v>3607</v>
      </c>
      <c r="I2" s="1" t="s">
        <v>21</v>
      </c>
      <c r="J2" s="1" t="s">
        <v>3608</v>
      </c>
      <c r="K2">
        <v>-68.844629</v>
      </c>
      <c r="L2">
        <v>-32.907044</v>
      </c>
      <c r="O2" s="1" t="s">
        <v>3609</v>
      </c>
      <c r="P2">
        <f t="shared" ref="P2:P90" si="1">IFERROR(__xludf.DUMMYFUNCTION("SPLIT(O2,"";"")"),-32.907044)</f>
        <v>-32.907044</v>
      </c>
      <c r="Q2">
        <f>IFERROR(__xludf.DUMMYFUNCTION("""COMPUTED_VALUE"""),-68.844629)</f>
        <v>-68.844629</v>
      </c>
      <c r="R2" t="str">
        <f>IFERROR(__xludf.DUMMYFUNCTION("""COMPUTED_VALUE"""),"Juan B, Justo 67, Mendoza , Argentina")</f>
        <v>Juan B, Justo 67, Mendoza , Argentina</v>
      </c>
      <c r="S2" t="str">
        <f>IFERROR(__xludf.DUMMYFUNCTION("""COMPUTED_VALUE"""),"Juan B, Justo 67, Villa Mercedes, Departamento Godoy Cruz, Mendoza, AR")</f>
        <v>Juan B, Justo 67, Villa Mercedes, Departamento Godoy Cruz, Mendoza, AR</v>
      </c>
    </row>
    <row r="3">
      <c r="A3" s="1">
        <v>3.0</v>
      </c>
      <c r="B3" s="1" t="s">
        <v>12</v>
      </c>
      <c r="C3" s="1">
        <v>1.0</v>
      </c>
      <c r="D3" s="1" t="s">
        <v>3620</v>
      </c>
      <c r="E3" s="1" t="s">
        <v>3604</v>
      </c>
      <c r="F3" s="1" t="s">
        <v>3605</v>
      </c>
      <c r="G3" s="1" t="s">
        <v>3621</v>
      </c>
      <c r="H3" s="1" t="s">
        <v>3621</v>
      </c>
      <c r="I3" s="1" t="s">
        <v>21</v>
      </c>
      <c r="J3" s="1" t="s">
        <v>3622</v>
      </c>
      <c r="K3">
        <v>-68.844726</v>
      </c>
      <c r="L3">
        <v>-32.907034</v>
      </c>
      <c r="O3" s="1" t="s">
        <v>3623</v>
      </c>
      <c r="P3">
        <f t="shared" si="1"/>
        <v>-32.907034</v>
      </c>
      <c r="Q3">
        <f>IFERROR(__xludf.DUMMYFUNCTION("""COMPUTED_VALUE"""),-68.844726)</f>
        <v>-68.844726</v>
      </c>
      <c r="R3" t="str">
        <f>IFERROR(__xludf.DUMMYFUNCTION("""COMPUTED_VALUE"""),"Juan B, Justo 75, Mendoza , Argentina")</f>
        <v>Juan B, Justo 75, Mendoza , Argentina</v>
      </c>
      <c r="S3" t="str">
        <f>IFERROR(__xludf.DUMMYFUNCTION("""COMPUTED_VALUE"""),"Juan B, Justo 75, Villa Mercedes, Departamento Godoy Cruz, Mendoza, AR")</f>
        <v>Juan B, Justo 75, Villa Mercedes, Departamento Godoy Cruz, Mendoza, AR</v>
      </c>
    </row>
    <row r="4">
      <c r="A4" s="1">
        <v>7.0</v>
      </c>
      <c r="B4" s="1" t="s">
        <v>12</v>
      </c>
      <c r="C4" s="1">
        <v>2.0</v>
      </c>
      <c r="D4" s="1" t="s">
        <v>3633</v>
      </c>
      <c r="E4" s="1" t="s">
        <v>3604</v>
      </c>
      <c r="F4" s="1" t="s">
        <v>3605</v>
      </c>
      <c r="G4" s="1" t="s">
        <v>3634</v>
      </c>
      <c r="H4" s="1" t="s">
        <v>3634</v>
      </c>
      <c r="I4" s="1" t="s">
        <v>21</v>
      </c>
      <c r="J4" s="1" t="s">
        <v>3635</v>
      </c>
      <c r="K4">
        <v>-68.845514</v>
      </c>
      <c r="L4">
        <v>-32.906935</v>
      </c>
      <c r="O4" s="1" t="s">
        <v>3636</v>
      </c>
      <c r="P4">
        <f t="shared" si="1"/>
        <v>-32.906935</v>
      </c>
      <c r="Q4">
        <f>IFERROR(__xludf.DUMMYFUNCTION("""COMPUTED_VALUE"""),-68.845514)</f>
        <v>-68.845514</v>
      </c>
      <c r="R4" t="str">
        <f>IFERROR(__xludf.DUMMYFUNCTION("""COMPUTED_VALUE"""),"Juan B, Justo 125, Mendoza , Argentina")</f>
        <v>Juan B, Justo 125, Mendoza , Argentina</v>
      </c>
      <c r="S4" t="str">
        <f>IFERROR(__xludf.DUMMYFUNCTION("""COMPUTED_VALUE"""),"Juan B, Justo 125, Villa Mercedes, Departamento Godoy Cruz, Mendoza, AR")</f>
        <v>Juan B, Justo 125, Villa Mercedes, Departamento Godoy Cruz, Mendoza, AR</v>
      </c>
    </row>
    <row r="5">
      <c r="A5" s="1">
        <v>46.0</v>
      </c>
      <c r="B5" s="1" t="s">
        <v>12</v>
      </c>
      <c r="C5" s="1">
        <v>9.0</v>
      </c>
      <c r="D5" s="1" t="s">
        <v>3642</v>
      </c>
      <c r="E5" s="1" t="s">
        <v>3604</v>
      </c>
      <c r="F5" s="1" t="s">
        <v>3605</v>
      </c>
      <c r="G5" s="1" t="s">
        <v>3643</v>
      </c>
      <c r="H5" s="1" t="s">
        <v>3643</v>
      </c>
      <c r="I5" s="1" t="s">
        <v>21</v>
      </c>
      <c r="J5" s="1" t="s">
        <v>3644</v>
      </c>
      <c r="K5">
        <v>-69.012587</v>
      </c>
      <c r="L5">
        <v>-33.571657</v>
      </c>
      <c r="O5" s="1" t="s">
        <v>3645</v>
      </c>
      <c r="P5">
        <f t="shared" si="1"/>
        <v>-33.571657</v>
      </c>
      <c r="Q5">
        <f>IFERROR(__xludf.DUMMYFUNCTION("""COMPUTED_VALUE"""),-69.012587)</f>
        <v>-69.012587</v>
      </c>
      <c r="R5" t="str">
        <f>IFERROR(__xludf.DUMMYFUNCTION("""COMPUTED_VALUE"""),"Juan B, Justo 812, Mendoza , Argentina")</f>
        <v>Juan B, Justo 812, Mendoza , Argentina</v>
      </c>
      <c r="S5" t="str">
        <f>IFERROR(__xludf.DUMMYFUNCTION("""COMPUTED_VALUE"""),"Juan B, Justo, Tunuyán, Distrito Ciudad de Tunuyán, Mendoza, AR")</f>
        <v>Juan B, Justo, Tunuyán, Distrito Ciudad de Tunuyán, Mendoza, AR</v>
      </c>
    </row>
    <row r="6">
      <c r="A6" s="1">
        <v>50.0</v>
      </c>
      <c r="B6" s="1" t="s">
        <v>12</v>
      </c>
      <c r="C6" s="1">
        <v>10.0</v>
      </c>
      <c r="D6" s="1" t="s">
        <v>3673</v>
      </c>
      <c r="E6" s="1" t="s">
        <v>3604</v>
      </c>
      <c r="F6" s="1" t="s">
        <v>3605</v>
      </c>
      <c r="G6" s="1" t="s">
        <v>3675</v>
      </c>
      <c r="H6" s="1" t="s">
        <v>3675</v>
      </c>
      <c r="I6" s="1" t="s">
        <v>21</v>
      </c>
      <c r="J6" s="1" t="s">
        <v>3676</v>
      </c>
      <c r="K6">
        <v>-69.012587</v>
      </c>
      <c r="L6">
        <v>-33.571657</v>
      </c>
      <c r="O6" s="1" t="s">
        <v>3677</v>
      </c>
      <c r="P6">
        <f t="shared" si="1"/>
        <v>-33.571657</v>
      </c>
      <c r="Q6">
        <f>IFERROR(__xludf.DUMMYFUNCTION("""COMPUTED_VALUE"""),-69.012587)</f>
        <v>-69.012587</v>
      </c>
      <c r="R6" t="str">
        <f>IFERROR(__xludf.DUMMYFUNCTION("""COMPUTED_VALUE"""),"Juan B, Justo 625, Mendoza , Argentina")</f>
        <v>Juan B, Justo 625, Mendoza , Argentina</v>
      </c>
      <c r="S6" t="str">
        <f>IFERROR(__xludf.DUMMYFUNCTION("""COMPUTED_VALUE"""),"Juan B, Justo, Tunuyán, Distrito Ciudad de Tunuyán, Mendoza, AR")</f>
        <v>Juan B, Justo, Tunuyán, Distrito Ciudad de Tunuyán, Mendoza, AR</v>
      </c>
    </row>
    <row r="7">
      <c r="A7" s="1">
        <v>68.0</v>
      </c>
      <c r="B7" s="1" t="s">
        <v>12</v>
      </c>
      <c r="C7" s="1">
        <v>13.0</v>
      </c>
      <c r="D7" s="1" t="s">
        <v>3682</v>
      </c>
      <c r="E7" s="1" t="s">
        <v>3604</v>
      </c>
      <c r="F7" s="1" t="s">
        <v>3605</v>
      </c>
      <c r="G7" s="1" t="s">
        <v>3683</v>
      </c>
      <c r="H7" s="1" t="s">
        <v>3683</v>
      </c>
      <c r="I7" s="1" t="s">
        <v>21</v>
      </c>
      <c r="J7" s="1" t="s">
        <v>3684</v>
      </c>
      <c r="K7">
        <v>-68.848506</v>
      </c>
      <c r="L7">
        <v>-32.906773</v>
      </c>
      <c r="O7" s="1" t="s">
        <v>3685</v>
      </c>
      <c r="P7">
        <f t="shared" si="1"/>
        <v>-32.906773</v>
      </c>
      <c r="Q7">
        <f>IFERROR(__xludf.DUMMYFUNCTION("""COMPUTED_VALUE"""),-68.848506)</f>
        <v>-68.848506</v>
      </c>
      <c r="R7" t="str">
        <f>IFERROR(__xludf.DUMMYFUNCTION("""COMPUTED_VALUE"""),"Juan B, Justo 360, Mendoza , Argentina")</f>
        <v>Juan B, Justo 360, Mendoza , Argentina</v>
      </c>
      <c r="S7" t="str">
        <f>IFERROR(__xludf.DUMMYFUNCTION("""COMPUTED_VALUE"""),"Juan B, Justo 360, Villa Mercedes, Departamento Godoy Cruz, Mendoza, AR")</f>
        <v>Juan B, Justo 360, Villa Mercedes, Departamento Godoy Cruz, Mendoza, AR</v>
      </c>
    </row>
    <row r="8">
      <c r="A8" s="1">
        <v>74.0</v>
      </c>
      <c r="B8" s="1" t="s">
        <v>12</v>
      </c>
      <c r="C8" s="1">
        <v>14.0</v>
      </c>
      <c r="D8" s="1" t="s">
        <v>3692</v>
      </c>
      <c r="E8" s="1" t="s">
        <v>3604</v>
      </c>
      <c r="F8" s="1" t="s">
        <v>3605</v>
      </c>
      <c r="G8" s="1" t="s">
        <v>3694</v>
      </c>
      <c r="H8" s="1" t="s">
        <v>3694</v>
      </c>
      <c r="I8" s="1" t="s">
        <v>21</v>
      </c>
      <c r="J8" s="1" t="s">
        <v>3695</v>
      </c>
      <c r="K8">
        <v>-68.847374</v>
      </c>
      <c r="L8">
        <v>-32.906859</v>
      </c>
      <c r="O8" s="1" t="s">
        <v>3696</v>
      </c>
      <c r="P8">
        <f t="shared" si="1"/>
        <v>-32.906859</v>
      </c>
      <c r="Q8">
        <f>IFERROR(__xludf.DUMMYFUNCTION("""COMPUTED_VALUE"""),-68.847374)</f>
        <v>-68.847374</v>
      </c>
      <c r="R8" t="str">
        <f>IFERROR(__xludf.DUMMYFUNCTION("""COMPUTED_VALUE"""),"Juan B, Justo 270, Mendoza , Argentina")</f>
        <v>Juan B, Justo 270, Mendoza , Argentina</v>
      </c>
      <c r="S8" t="str">
        <f>IFERROR(__xludf.DUMMYFUNCTION("""COMPUTED_VALUE"""),"Juan B, Justo 270, Villa Mercedes, Departamento Godoy Cruz, Mendoza, AR")</f>
        <v>Juan B, Justo 270, Villa Mercedes, Departamento Godoy Cruz, Mendoza, AR</v>
      </c>
    </row>
    <row r="9">
      <c r="A9" s="1">
        <v>78.0</v>
      </c>
      <c r="B9" s="1" t="s">
        <v>12</v>
      </c>
      <c r="C9" s="1">
        <v>15.0</v>
      </c>
      <c r="D9" s="1" t="s">
        <v>3701</v>
      </c>
      <c r="E9" s="1" t="s">
        <v>3604</v>
      </c>
      <c r="F9" s="1" t="s">
        <v>3605</v>
      </c>
      <c r="G9" s="1" t="s">
        <v>3702</v>
      </c>
      <c r="H9" s="1" t="s">
        <v>3702</v>
      </c>
      <c r="I9" s="1" t="s">
        <v>21</v>
      </c>
      <c r="J9" s="1" t="s">
        <v>3703</v>
      </c>
      <c r="K9">
        <v>-68.845848</v>
      </c>
      <c r="L9">
        <v>-32.907031</v>
      </c>
      <c r="O9" s="1" t="s">
        <v>3704</v>
      </c>
      <c r="P9">
        <f t="shared" si="1"/>
        <v>-32.907031</v>
      </c>
      <c r="Q9">
        <f>IFERROR(__xludf.DUMMYFUNCTION("""COMPUTED_VALUE"""),-68.845848)</f>
        <v>-68.845848</v>
      </c>
      <c r="R9" t="str">
        <f>IFERROR(__xludf.DUMMYFUNCTION("""COMPUTED_VALUE"""),"Juan B, Justo 154, Mendoza , Argentina")</f>
        <v>Juan B, Justo 154, Mendoza , Argentina</v>
      </c>
      <c r="S9" t="str">
        <f>IFERROR(__xludf.DUMMYFUNCTION("""COMPUTED_VALUE"""),"Juan B, Justo 154, Villa Mercedes, Departamento Godoy Cruz, Mendoza, AR")</f>
        <v>Juan B, Justo 154, Villa Mercedes, Departamento Godoy Cruz, Mendoza, AR</v>
      </c>
    </row>
    <row r="10">
      <c r="A10" s="1">
        <v>85.0</v>
      </c>
      <c r="B10" s="1" t="s">
        <v>12</v>
      </c>
      <c r="C10" s="1">
        <v>16.0</v>
      </c>
      <c r="D10" s="1" t="s">
        <v>3715</v>
      </c>
      <c r="E10" s="1" t="s">
        <v>3604</v>
      </c>
      <c r="F10" s="1" t="s">
        <v>3605</v>
      </c>
      <c r="G10" s="1" t="s">
        <v>3716</v>
      </c>
      <c r="H10" s="1" t="s">
        <v>3716</v>
      </c>
      <c r="I10" s="1" t="s">
        <v>21</v>
      </c>
      <c r="J10" s="1" t="s">
        <v>3717</v>
      </c>
      <c r="K10">
        <v>-69.012587</v>
      </c>
      <c r="L10">
        <v>-33.571657</v>
      </c>
      <c r="O10" s="1" t="s">
        <v>3718</v>
      </c>
      <c r="P10">
        <f t="shared" si="1"/>
        <v>-33.571657</v>
      </c>
      <c r="Q10">
        <f>IFERROR(__xludf.DUMMYFUNCTION("""COMPUTED_VALUE"""),-69.012587)</f>
        <v>-69.012587</v>
      </c>
      <c r="R10" t="str">
        <f>IFERROR(__xludf.DUMMYFUNCTION("""COMPUTED_VALUE"""),"Juan B, Justo 56, Mendoza , Argentina")</f>
        <v>Juan B, Justo 56, Mendoza , Argentina</v>
      </c>
      <c r="S10" t="str">
        <f>IFERROR(__xludf.DUMMYFUNCTION("""COMPUTED_VALUE"""),"Juan B, Justo, Tunuyán, Distrito Ciudad de Tunuyán, Mendoza, AR")</f>
        <v>Juan B, Justo, Tunuyán, Distrito Ciudad de Tunuyán, Mendoza, AR</v>
      </c>
    </row>
    <row r="11">
      <c r="A11" s="1">
        <v>396.0</v>
      </c>
      <c r="B11" s="1" t="s">
        <v>24</v>
      </c>
      <c r="C11" s="1">
        <v>3.0</v>
      </c>
      <c r="D11" s="1" t="s">
        <v>3723</v>
      </c>
      <c r="E11" s="1" t="s">
        <v>3604</v>
      </c>
      <c r="F11" s="1" t="s">
        <v>3605</v>
      </c>
      <c r="G11" s="1" t="s">
        <v>3724</v>
      </c>
      <c r="H11" s="1" t="s">
        <v>3724</v>
      </c>
      <c r="I11" s="1" t="s">
        <v>21</v>
      </c>
      <c r="J11" s="1" t="s">
        <v>3725</v>
      </c>
      <c r="K11">
        <v>-68.856133</v>
      </c>
      <c r="L11">
        <v>-32.891973</v>
      </c>
      <c r="O11" s="1" t="s">
        <v>3726</v>
      </c>
      <c r="P11">
        <f t="shared" si="1"/>
        <v>-32.891973</v>
      </c>
      <c r="Q11">
        <f>IFERROR(__xludf.DUMMYFUNCTION("""COMPUTED_VALUE"""),-68.856133)</f>
        <v>-68.856133</v>
      </c>
      <c r="R11" t="str">
        <f>IFERROR(__xludf.DUMMYFUNCTION("""COMPUTED_VALUE"""),"Arístides Villanueva 385, Mendoza , Argentina")</f>
        <v>Arístides Villanueva 385, Mendoza , Argentina</v>
      </c>
      <c r="S11" t="str">
        <f>IFERROR(__xludf.DUMMYFUNCTION("""COMPUTED_VALUE"""),"Arístides Villanueva 385, Ciudad de Mendoza, Sección 5ª Residencial Sur, Mendoza, AR")</f>
        <v>Arístides Villanueva 385, Ciudad de Mendoza, Sección 5ª Residencial Sur, Mendoza, AR</v>
      </c>
    </row>
    <row r="12">
      <c r="A12" s="1">
        <v>438.0</v>
      </c>
      <c r="B12" s="1" t="s">
        <v>24</v>
      </c>
      <c r="C12" s="1">
        <v>10.0</v>
      </c>
      <c r="D12" s="1" t="s">
        <v>3735</v>
      </c>
      <c r="E12" s="1" t="s">
        <v>3604</v>
      </c>
      <c r="F12" s="1" t="s">
        <v>3605</v>
      </c>
      <c r="G12" s="1" t="s">
        <v>3736</v>
      </c>
      <c r="H12" s="1" t="s">
        <v>3736</v>
      </c>
      <c r="I12" s="1" t="s">
        <v>21</v>
      </c>
      <c r="J12" s="1" t="s">
        <v>3737</v>
      </c>
      <c r="K12">
        <v>-68.858077</v>
      </c>
      <c r="L12">
        <v>-32.891806</v>
      </c>
      <c r="O12" s="1" t="s">
        <v>3738</v>
      </c>
      <c r="P12">
        <f t="shared" si="1"/>
        <v>-32.891806</v>
      </c>
      <c r="Q12">
        <f>IFERROR(__xludf.DUMMYFUNCTION("""COMPUTED_VALUE"""),-68.858077)</f>
        <v>-68.858077</v>
      </c>
      <c r="R12" t="str">
        <f>IFERROR(__xludf.DUMMYFUNCTION("""COMPUTED_VALUE"""),"Arístides Villanueva 470, Mendoza , Argentina")</f>
        <v>Arístides Villanueva 470, Mendoza , Argentina</v>
      </c>
      <c r="S12" t="str">
        <f>IFERROR(__xludf.DUMMYFUNCTION("""COMPUTED_VALUE"""),"Arístides Villanueva 470, Ciudad de Mendoza, Sección 5ª Residencial Sur, Mendoza, AR")</f>
        <v>Arístides Villanueva 470, Ciudad de Mendoza, Sección 5ª Residencial Sur, Mendoza, AR</v>
      </c>
    </row>
    <row r="13">
      <c r="A13" s="1">
        <v>596.0</v>
      </c>
      <c r="B13" s="1" t="s">
        <v>109</v>
      </c>
      <c r="C13" s="1">
        <v>10.0</v>
      </c>
      <c r="D13" s="1" t="s">
        <v>3743</v>
      </c>
      <c r="E13" s="1" t="s">
        <v>3604</v>
      </c>
      <c r="F13" s="1" t="s">
        <v>3605</v>
      </c>
      <c r="G13" s="1" t="s">
        <v>3744</v>
      </c>
      <c r="H13" s="1" t="s">
        <v>3744</v>
      </c>
      <c r="I13" s="1" t="s">
        <v>21</v>
      </c>
      <c r="J13" s="1" t="s">
        <v>3745</v>
      </c>
      <c r="K13">
        <v>-68.838582</v>
      </c>
      <c r="L13">
        <v>-32.88697</v>
      </c>
      <c r="O13" s="1" t="s">
        <v>3746</v>
      </c>
      <c r="P13">
        <f t="shared" si="1"/>
        <v>-32.88697</v>
      </c>
      <c r="Q13">
        <f>IFERROR(__xludf.DUMMYFUNCTION("""COMPUTED_VALUE"""),-68.838582)</f>
        <v>-68.838582</v>
      </c>
      <c r="R13" t="str">
        <f>IFERROR(__xludf.DUMMYFUNCTION("""COMPUTED_VALUE"""),"Av, San Martín 1446, Mendoza , Argentina")</f>
        <v>Av, San Martín 1446, Mendoza , Argentina</v>
      </c>
      <c r="S13" t="str">
        <f>IFERROR(__xludf.DUMMYFUNCTION("""COMPUTED_VALUE"""),"Avenida San Martín 1446, Ciudad de Mendoza, Sección 3ª Parque O'Higgins, Mendoza, AR")</f>
        <v>Avenida San Martín 1446, Ciudad de Mendoza, Sección 3ª Parque O'Higgins, Mendoza, AR</v>
      </c>
    </row>
    <row r="14">
      <c r="A14" s="1">
        <v>697.0</v>
      </c>
      <c r="B14" s="1" t="s">
        <v>36</v>
      </c>
      <c r="C14" s="1">
        <v>5.0</v>
      </c>
      <c r="D14" s="1" t="s">
        <v>3756</v>
      </c>
      <c r="E14" s="1" t="s">
        <v>3604</v>
      </c>
      <c r="F14" s="1" t="s">
        <v>3605</v>
      </c>
      <c r="G14" s="1" t="s">
        <v>3757</v>
      </c>
      <c r="H14" s="1" t="s">
        <v>3757</v>
      </c>
      <c r="I14" s="1" t="s">
        <v>21</v>
      </c>
      <c r="J14" s="1" t="s">
        <v>3758</v>
      </c>
      <c r="K14">
        <v>-68.842935</v>
      </c>
      <c r="L14">
        <v>-32.90432</v>
      </c>
      <c r="O14" s="1" t="s">
        <v>3759</v>
      </c>
      <c r="P14">
        <f t="shared" si="1"/>
        <v>-32.90432</v>
      </c>
      <c r="Q14">
        <f>IFERROR(__xludf.DUMMYFUNCTION("""COMPUTED_VALUE"""),-68.842935)</f>
        <v>-68.842935</v>
      </c>
      <c r="R14" t="str">
        <f>IFERROR(__xludf.DUMMYFUNCTION("""COMPUTED_VALUE"""),"Av, San Martín 2065, Mendoza , Argentina")</f>
        <v>Av, San Martín 2065, Mendoza , Argentina</v>
      </c>
      <c r="S14" t="str">
        <f>IFERROR(__xludf.DUMMYFUNCTION("""COMPUTED_VALUE"""),"Avenida San Martín 2065, General Espejo, Departamento Godoy Cruz, Mendoza, AR")</f>
        <v>Avenida San Martín 2065, General Espejo, Departamento Godoy Cruz, Mendoza, AR</v>
      </c>
    </row>
    <row r="15">
      <c r="A15" s="1">
        <v>713.0</v>
      </c>
      <c r="B15" s="1" t="s">
        <v>36</v>
      </c>
      <c r="C15" s="1">
        <v>7.0</v>
      </c>
      <c r="D15" s="1" t="s">
        <v>3764</v>
      </c>
      <c r="E15" s="1" t="s">
        <v>3604</v>
      </c>
      <c r="F15" s="1" t="s">
        <v>3605</v>
      </c>
      <c r="G15" s="1" t="s">
        <v>3765</v>
      </c>
      <c r="H15" s="1" t="s">
        <v>3766</v>
      </c>
      <c r="I15" s="1" t="s">
        <v>21</v>
      </c>
      <c r="J15" s="1" t="s">
        <v>3767</v>
      </c>
      <c r="K15">
        <v>-68.835832</v>
      </c>
      <c r="L15">
        <v>-32.876504</v>
      </c>
      <c r="O15" s="1" t="s">
        <v>3768</v>
      </c>
      <c r="P15">
        <f t="shared" si="1"/>
        <v>-32.876504</v>
      </c>
      <c r="Q15">
        <f>IFERROR(__xludf.DUMMYFUNCTION("""COMPUTED_VALUE"""),-68.835832)</f>
        <v>-68.835832</v>
      </c>
      <c r="R15" t="str">
        <f>IFERROR(__xludf.DUMMYFUNCTION("""COMPUTED_VALUE"""),"Av, San Martín 2265, Mendoza , Argentina")</f>
        <v>Av, San Martín 2265, Mendoza , Argentina</v>
      </c>
      <c r="S15" t="str">
        <f>IFERROR(__xludf.DUMMYFUNCTION("""COMPUTED_VALUE"""),"Avenida San Martín 2265, Ciudad de Mendoza, Sección 1ª Parque Central, Mendoza, AR")</f>
        <v>Avenida San Martín 2265, Ciudad de Mendoza, Sección 1ª Parque Central, Mendoza, AR</v>
      </c>
    </row>
    <row r="16">
      <c r="A16" s="1">
        <v>890.0</v>
      </c>
      <c r="B16" s="1" t="s">
        <v>55</v>
      </c>
      <c r="C16" s="1">
        <v>11.0</v>
      </c>
      <c r="D16" s="1" t="s">
        <v>3773</v>
      </c>
      <c r="E16" s="1" t="s">
        <v>3604</v>
      </c>
      <c r="F16" s="1" t="s">
        <v>3605</v>
      </c>
      <c r="G16" s="1" t="s">
        <v>3775</v>
      </c>
      <c r="H16" s="1" t="s">
        <v>3775</v>
      </c>
      <c r="I16" s="1" t="s">
        <v>21</v>
      </c>
      <c r="J16" s="1" t="s">
        <v>3777</v>
      </c>
      <c r="K16">
        <v>-68.845009</v>
      </c>
      <c r="L16">
        <v>-32.885184</v>
      </c>
      <c r="O16" s="1" t="s">
        <v>3778</v>
      </c>
      <c r="P16">
        <f t="shared" si="1"/>
        <v>-32.885184</v>
      </c>
      <c r="Q16">
        <f>IFERROR(__xludf.DUMMYFUNCTION("""COMPUTED_VALUE"""),-68.845009)</f>
        <v>-68.845009</v>
      </c>
      <c r="R16" t="str">
        <f>IFERROR(__xludf.DUMMYFUNCTION("""COMPUTED_VALUE"""),"Av, Las Heras 526, Mendoza , Argentina")</f>
        <v>Av, Las Heras 526, Mendoza , Argentina</v>
      </c>
      <c r="S16" t="str">
        <f>IFERROR(__xludf.DUMMYFUNCTION("""COMPUTED_VALUE"""),"Avenida Las Heras 526, Ciudad de Mendoza, Sección 1ª Parque Central, Mendoza, AR")</f>
        <v>Avenida Las Heras 526, Ciudad de Mendoza, Sección 1ª Parque Central, Mendoza, AR</v>
      </c>
    </row>
    <row r="17">
      <c r="A17" s="1">
        <v>895.0</v>
      </c>
      <c r="B17" s="1" t="s">
        <v>55</v>
      </c>
      <c r="C17" s="1">
        <v>11.0</v>
      </c>
      <c r="D17" s="1" t="s">
        <v>3781</v>
      </c>
      <c r="E17" s="1" t="s">
        <v>3604</v>
      </c>
      <c r="F17" s="1" t="s">
        <v>3605</v>
      </c>
      <c r="G17" s="1" t="s">
        <v>3783</v>
      </c>
      <c r="H17" s="1" t="s">
        <v>3783</v>
      </c>
      <c r="I17" s="1" t="s">
        <v>21</v>
      </c>
      <c r="J17" s="1" t="s">
        <v>3785</v>
      </c>
      <c r="K17">
        <v>-68.845375</v>
      </c>
      <c r="L17">
        <v>-32.885118</v>
      </c>
      <c r="O17" s="1" t="s">
        <v>3786</v>
      </c>
      <c r="P17">
        <f t="shared" si="1"/>
        <v>-32.885118</v>
      </c>
      <c r="Q17">
        <f>IFERROR(__xludf.DUMMYFUNCTION("""COMPUTED_VALUE"""),-68.845375)</f>
        <v>-68.845375</v>
      </c>
      <c r="R17" t="str">
        <f>IFERROR(__xludf.DUMMYFUNCTION("""COMPUTED_VALUE"""),"Av, Las Heras 558, Mendoza , Argentina")</f>
        <v>Av, Las Heras 558, Mendoza , Argentina</v>
      </c>
      <c r="S17" t="str">
        <f>IFERROR(__xludf.DUMMYFUNCTION("""COMPUTED_VALUE"""),"Avenida Las Heras 558, Ciudad de Mendoza, Sección 1ª Parque Central, Mendoza, AR")</f>
        <v>Avenida Las Heras 558, Ciudad de Mendoza, Sección 1ª Parque Central, Mendoza, AR</v>
      </c>
    </row>
    <row r="18">
      <c r="A18" s="1">
        <v>899.0</v>
      </c>
      <c r="B18" s="1" t="s">
        <v>55</v>
      </c>
      <c r="C18" s="1">
        <v>11.0</v>
      </c>
      <c r="D18" s="1" t="s">
        <v>3793</v>
      </c>
      <c r="E18" s="1" t="s">
        <v>3604</v>
      </c>
      <c r="F18" s="1" t="s">
        <v>3605</v>
      </c>
      <c r="G18" s="1" t="s">
        <v>3795</v>
      </c>
      <c r="H18" s="1" t="s">
        <v>3796</v>
      </c>
      <c r="I18" s="1" t="s">
        <v>21</v>
      </c>
      <c r="J18" s="1" t="s">
        <v>3798</v>
      </c>
      <c r="K18">
        <v>-68.845741</v>
      </c>
      <c r="L18">
        <v>-32.885103</v>
      </c>
      <c r="O18" s="1" t="s">
        <v>3799</v>
      </c>
      <c r="P18">
        <f t="shared" si="1"/>
        <v>-32.885103</v>
      </c>
      <c r="Q18">
        <f>IFERROR(__xludf.DUMMYFUNCTION("""COMPUTED_VALUE"""),-68.845741)</f>
        <v>-68.845741</v>
      </c>
      <c r="R18" t="str">
        <f>IFERROR(__xludf.DUMMYFUNCTION("""COMPUTED_VALUE"""),"Av, Las Heras 590, Mendoza , Argentina")</f>
        <v>Av, Las Heras 590, Mendoza , Argentina</v>
      </c>
      <c r="S18" t="str">
        <f>IFERROR(__xludf.DUMMYFUNCTION("""COMPUTED_VALUE"""),"Avenida Las Heras 590, Ciudad de Mendoza, Sección 1ª Parque Central, Mendoza, AR")</f>
        <v>Avenida Las Heras 590, Ciudad de Mendoza, Sección 1ª Parque Central, Mendoza, AR</v>
      </c>
    </row>
    <row r="19">
      <c r="A19" s="1">
        <v>912.0</v>
      </c>
      <c r="B19" s="1" t="s">
        <v>55</v>
      </c>
      <c r="C19" s="1">
        <v>12.0</v>
      </c>
      <c r="D19" s="1" t="s">
        <v>3801</v>
      </c>
      <c r="E19" s="1" t="s">
        <v>3604</v>
      </c>
      <c r="F19" s="1" t="s">
        <v>3605</v>
      </c>
      <c r="G19" s="1" t="s">
        <v>3802</v>
      </c>
      <c r="H19" s="1" t="s">
        <v>3802</v>
      </c>
      <c r="I19" s="1" t="s">
        <v>21</v>
      </c>
      <c r="J19" s="1" t="s">
        <v>3804</v>
      </c>
      <c r="K19">
        <v>-100.445882</v>
      </c>
      <c r="L19">
        <v>39.78373</v>
      </c>
      <c r="O19" s="1" t="s">
        <v>3806</v>
      </c>
      <c r="P19">
        <f t="shared" si="1"/>
        <v>39.78373</v>
      </c>
      <c r="Q19">
        <f>IFERROR(__xludf.DUMMYFUNCTION("""COMPUTED_VALUE"""),-100.445882)</f>
        <v>-100.445882</v>
      </c>
      <c r="R19" t="str">
        <f>IFERROR(__xludf.DUMMYFUNCTION("""COMPUTED_VALUE"""),"Av, Mitre y Av, Las Heras 1490, Mendoza , Argentina")</f>
        <v>Av, Mitre y Av, Las Heras 1490, Mendoza , Argentina</v>
      </c>
      <c r="S19" t="str">
        <f>IFERROR(__xludf.DUMMYFUNCTION("""COMPUTED_VALUE"""),"US")</f>
        <v>US</v>
      </c>
    </row>
    <row r="20">
      <c r="A20" s="1">
        <v>923.0</v>
      </c>
      <c r="B20" s="1" t="s">
        <v>55</v>
      </c>
      <c r="C20" s="1">
        <v>14.0</v>
      </c>
      <c r="D20" s="1" t="s">
        <v>2025</v>
      </c>
      <c r="E20" s="1" t="s">
        <v>3604</v>
      </c>
      <c r="F20" s="1" t="s">
        <v>3605</v>
      </c>
      <c r="G20" s="1" t="s">
        <v>2029</v>
      </c>
      <c r="H20" s="1" t="s">
        <v>2029</v>
      </c>
      <c r="I20" s="1" t="s">
        <v>21</v>
      </c>
      <c r="J20" s="1" t="s">
        <v>3812</v>
      </c>
      <c r="K20">
        <v>-68.841</v>
      </c>
      <c r="L20">
        <v>-32.885936</v>
      </c>
      <c r="O20" s="1" t="s">
        <v>3814</v>
      </c>
      <c r="P20">
        <f t="shared" si="1"/>
        <v>-32.885936</v>
      </c>
      <c r="Q20">
        <f>IFERROR(__xludf.DUMMYFUNCTION("""COMPUTED_VALUE"""),-68.841)</f>
        <v>-68.841</v>
      </c>
      <c r="R20" t="str">
        <f>IFERROR(__xludf.DUMMYFUNCTION("""COMPUTED_VALUE"""),"Av, Las Heras 208, Mendoza , Argentina")</f>
        <v>Av, Las Heras 208, Mendoza , Argentina</v>
      </c>
      <c r="S20" t="str">
        <f>IFERROR(__xludf.DUMMYFUNCTION("""COMPUTED_VALUE"""),"Avenida Las Heras 208, Ciudad de Mendoza, Sección 1ª Parque Central, Mendoza, AR")</f>
        <v>Avenida Las Heras 208, Ciudad de Mendoza, Sección 1ª Parque Central, Mendoza, AR</v>
      </c>
    </row>
    <row r="21">
      <c r="A21" s="1">
        <v>953.0</v>
      </c>
      <c r="B21" s="1" t="s">
        <v>55</v>
      </c>
      <c r="C21" s="1">
        <v>16.0</v>
      </c>
      <c r="D21" s="1" t="s">
        <v>3818</v>
      </c>
      <c r="E21" s="1" t="s">
        <v>3604</v>
      </c>
      <c r="F21" s="1" t="s">
        <v>3605</v>
      </c>
      <c r="G21" s="1" t="s">
        <v>2311</v>
      </c>
      <c r="H21" s="1" t="s">
        <v>3821</v>
      </c>
      <c r="I21" s="1" t="s">
        <v>21</v>
      </c>
      <c r="J21" s="1" t="s">
        <v>2312</v>
      </c>
      <c r="K21">
        <v>-68.838989</v>
      </c>
      <c r="L21">
        <v>-32.886359</v>
      </c>
      <c r="O21" s="1" t="s">
        <v>3823</v>
      </c>
      <c r="P21">
        <f t="shared" si="1"/>
        <v>-32.886359</v>
      </c>
      <c r="Q21">
        <f>IFERROR(__xludf.DUMMYFUNCTION("""COMPUTED_VALUE"""),-68.838989)</f>
        <v>-68.838989</v>
      </c>
      <c r="R21" t="str">
        <f>IFERROR(__xludf.DUMMYFUNCTION("""COMPUTED_VALUE"""),"Av, Las Heras 70, Mendoza , Argentina")</f>
        <v>Av, Las Heras 70, Mendoza , Argentina</v>
      </c>
      <c r="S21" t="str">
        <f>IFERROR(__xludf.DUMMYFUNCTION("""COMPUTED_VALUE"""),"Avenida Las Heras 70, Ciudad de Mendoza, Sección 3ª Parque O'Higgins, Mendoza, AR")</f>
        <v>Avenida Las Heras 70, Ciudad de Mendoza, Sección 3ª Parque O'Higgins, Mendoza, AR</v>
      </c>
    </row>
    <row r="22">
      <c r="A22" s="1">
        <v>960.0</v>
      </c>
      <c r="B22" s="1" t="s">
        <v>55</v>
      </c>
      <c r="C22" s="1">
        <v>16.0</v>
      </c>
      <c r="D22" s="1" t="s">
        <v>3829</v>
      </c>
      <c r="E22" s="1" t="s">
        <v>3604</v>
      </c>
      <c r="F22" s="1" t="s">
        <v>3605</v>
      </c>
      <c r="G22" s="1" t="s">
        <v>3830</v>
      </c>
      <c r="H22" s="1" t="s">
        <v>3830</v>
      </c>
      <c r="I22" s="1" t="s">
        <v>21</v>
      </c>
      <c r="J22" s="1" t="s">
        <v>3831</v>
      </c>
      <c r="K22">
        <v>-68.839444</v>
      </c>
      <c r="L22">
        <v>-32.886272</v>
      </c>
      <c r="O22" s="1" t="s">
        <v>3832</v>
      </c>
      <c r="P22">
        <f t="shared" si="1"/>
        <v>-32.886272</v>
      </c>
      <c r="Q22">
        <f>IFERROR(__xludf.DUMMYFUNCTION("""COMPUTED_VALUE"""),-68.839444)</f>
        <v>-68.839444</v>
      </c>
      <c r="R22" t="str">
        <f>IFERROR(__xludf.DUMMYFUNCTION("""COMPUTED_VALUE"""),"Av, Las Heras 88, Mendoza , Argentina")</f>
        <v>Av, Las Heras 88, Mendoza , Argentina</v>
      </c>
      <c r="S22" t="str">
        <f>IFERROR(__xludf.DUMMYFUNCTION("""COMPUTED_VALUE"""),"Avenida Las Heras 88, Ciudad de Mendoza, Sección 3ª Parque O'Higgins, Mendoza, AR")</f>
        <v>Avenida Las Heras 88, Ciudad de Mendoza, Sección 3ª Parque O'Higgins, Mendoza, AR</v>
      </c>
    </row>
    <row r="23">
      <c r="A23" s="1">
        <v>1221.0</v>
      </c>
      <c r="B23" s="1" t="s">
        <v>227</v>
      </c>
      <c r="C23" s="1">
        <v>7.0</v>
      </c>
      <c r="D23" s="1" t="s">
        <v>3838</v>
      </c>
      <c r="E23" s="1" t="s">
        <v>3604</v>
      </c>
      <c r="F23" s="1" t="s">
        <v>3605</v>
      </c>
      <c r="G23" s="1" t="s">
        <v>3841</v>
      </c>
      <c r="H23" s="1" t="s">
        <v>3841</v>
      </c>
      <c r="I23" s="1" t="s">
        <v>21</v>
      </c>
      <c r="J23" s="1" t="s">
        <v>3843</v>
      </c>
      <c r="K23">
        <v>-67.688023</v>
      </c>
      <c r="L23">
        <v>-34.979176</v>
      </c>
      <c r="O23" s="1" t="s">
        <v>3845</v>
      </c>
      <c r="P23">
        <f t="shared" si="1"/>
        <v>-34.979176</v>
      </c>
      <c r="Q23">
        <f>IFERROR(__xludf.DUMMYFUNCTION("""COMPUTED_VALUE"""),-67.688023)</f>
        <v>-67.688023</v>
      </c>
      <c r="R23" t="str">
        <f>IFERROR(__xludf.DUMMYFUNCTION("""COMPUTED_VALUE"""),"Godoy Cruz 326, Mendoza , Argentina")</f>
        <v>Godoy Cruz 326, Mendoza , Argentina</v>
      </c>
      <c r="S23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24">
      <c r="A24" s="1">
        <v>1222.0</v>
      </c>
      <c r="B24" s="1" t="s">
        <v>227</v>
      </c>
      <c r="C24" s="1">
        <v>7.0</v>
      </c>
      <c r="D24" s="1" t="s">
        <v>3838</v>
      </c>
      <c r="E24" s="1" t="s">
        <v>3604</v>
      </c>
      <c r="F24" s="1" t="s">
        <v>3605</v>
      </c>
      <c r="G24" s="1" t="s">
        <v>3850</v>
      </c>
      <c r="H24" s="1" t="s">
        <v>3850</v>
      </c>
      <c r="I24" s="1" t="s">
        <v>21</v>
      </c>
      <c r="J24" s="1" t="s">
        <v>3851</v>
      </c>
      <c r="K24">
        <v>-67.688023</v>
      </c>
      <c r="L24">
        <v>-34.979176</v>
      </c>
      <c r="O24" s="1" t="s">
        <v>3852</v>
      </c>
      <c r="P24">
        <f t="shared" si="1"/>
        <v>-34.979176</v>
      </c>
      <c r="Q24">
        <f>IFERROR(__xludf.DUMMYFUNCTION("""COMPUTED_VALUE"""),-67.688023)</f>
        <v>-67.688023</v>
      </c>
      <c r="R24" t="str">
        <f>IFERROR(__xludf.DUMMYFUNCTION("""COMPUTED_VALUE"""),"Godoy Cruz 322, Mendoza , Argentina")</f>
        <v>Godoy Cruz 322, Mendoza , Argentina</v>
      </c>
      <c r="S24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25">
      <c r="A25" s="1">
        <v>1264.0</v>
      </c>
      <c r="B25" s="1" t="s">
        <v>248</v>
      </c>
      <c r="C25" s="1">
        <v>2.0</v>
      </c>
      <c r="D25" s="1" t="s">
        <v>3029</v>
      </c>
      <c r="E25" s="1" t="s">
        <v>3604</v>
      </c>
      <c r="F25" s="1" t="s">
        <v>3605</v>
      </c>
      <c r="G25" s="1" t="s">
        <v>3031</v>
      </c>
      <c r="H25" s="1" t="s">
        <v>3031</v>
      </c>
      <c r="I25" s="1" t="s">
        <v>21</v>
      </c>
      <c r="J25" s="1" t="s">
        <v>3860</v>
      </c>
      <c r="K25">
        <v>-67.683115</v>
      </c>
      <c r="L25">
        <v>-34.974904</v>
      </c>
      <c r="O25" s="1" t="s">
        <v>3861</v>
      </c>
      <c r="P25">
        <f t="shared" si="1"/>
        <v>-34.974904</v>
      </c>
      <c r="Q25">
        <f>IFERROR(__xludf.DUMMYFUNCTION("""COMPUTED_VALUE"""),-67.683115)</f>
        <v>-67.683115</v>
      </c>
      <c r="R25" t="str">
        <f>IFERROR(__xludf.DUMMYFUNCTION("""COMPUTED_VALUE"""),"España 1512, Mendoza , Argentina")</f>
        <v>España 1512, Mendoza , Argentina</v>
      </c>
      <c r="S25" t="str">
        <f>IFERROR(__xludf.DUMMYFUNCTION("""COMPUTED_VALUE"""),"España, General Alvear, Distrito Ciudad de General Alvear, Mendoza, AR")</f>
        <v>España, General Alvear, Distrito Ciudad de General Alvear, Mendoza, AR</v>
      </c>
    </row>
    <row r="26">
      <c r="A26" s="1">
        <v>1325.0</v>
      </c>
      <c r="B26" s="1" t="s">
        <v>248</v>
      </c>
      <c r="C26" s="1">
        <v>14.0</v>
      </c>
      <c r="D26" s="1" t="s">
        <v>3705</v>
      </c>
      <c r="E26" s="1" t="s">
        <v>3604</v>
      </c>
      <c r="F26" s="1" t="s">
        <v>3605</v>
      </c>
      <c r="G26" s="1" t="s">
        <v>3707</v>
      </c>
      <c r="H26" s="1" t="s">
        <v>3707</v>
      </c>
      <c r="I26" s="1" t="s">
        <v>21</v>
      </c>
      <c r="J26" s="1" t="s">
        <v>3868</v>
      </c>
      <c r="K26">
        <v>-67.683115</v>
      </c>
      <c r="L26">
        <v>-34.974904</v>
      </c>
      <c r="O26" s="1" t="s">
        <v>3869</v>
      </c>
      <c r="P26">
        <f t="shared" si="1"/>
        <v>-34.974904</v>
      </c>
      <c r="Q26">
        <f>IFERROR(__xludf.DUMMYFUNCTION("""COMPUTED_VALUE"""),-67.683115)</f>
        <v>-67.683115</v>
      </c>
      <c r="R26" t="str">
        <f>IFERROR(__xludf.DUMMYFUNCTION("""COMPUTED_VALUE"""),"España 1433, Mendoza , Argentina")</f>
        <v>España 1433, Mendoza , Argentina</v>
      </c>
      <c r="S26" t="str">
        <f>IFERROR(__xludf.DUMMYFUNCTION("""COMPUTED_VALUE"""),"España, General Alvear, Distrito Ciudad de General Alvear, Mendoza, AR")</f>
        <v>España, General Alvear, Distrito Ciudad de General Alvear, Mendoza, AR</v>
      </c>
    </row>
    <row r="27">
      <c r="A27" s="1">
        <v>1229.0</v>
      </c>
      <c r="B27" s="1" t="s">
        <v>227</v>
      </c>
      <c r="C27" s="1">
        <v>8.0</v>
      </c>
      <c r="D27" s="1" t="s">
        <v>3876</v>
      </c>
      <c r="E27" s="1" t="s">
        <v>3604</v>
      </c>
      <c r="F27" s="1" t="s">
        <v>3877</v>
      </c>
      <c r="G27" s="1" t="s">
        <v>3878</v>
      </c>
      <c r="H27" s="1" t="s">
        <v>3878</v>
      </c>
      <c r="I27" s="1" t="s">
        <v>21</v>
      </c>
      <c r="J27" s="1" t="s">
        <v>3879</v>
      </c>
      <c r="K27">
        <v>-67.688023</v>
      </c>
      <c r="L27">
        <v>-34.979176</v>
      </c>
      <c r="O27" s="1" t="s">
        <v>3880</v>
      </c>
      <c r="P27">
        <f t="shared" si="1"/>
        <v>-34.979176</v>
      </c>
      <c r="Q27">
        <f>IFERROR(__xludf.DUMMYFUNCTION("""COMPUTED_VALUE"""),-67.688023)</f>
        <v>-67.688023</v>
      </c>
      <c r="R27" t="str">
        <f>IFERROR(__xludf.DUMMYFUNCTION("""COMPUTED_VALUE"""),"Godoy Cruz 212, Mendoza , Argentina")</f>
        <v>Godoy Cruz 212, Mendoza , Argentina</v>
      </c>
      <c r="S27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28">
      <c r="A28" s="1">
        <v>1216.0</v>
      </c>
      <c r="B28" s="1" t="s">
        <v>227</v>
      </c>
      <c r="C28" s="1">
        <v>5.0</v>
      </c>
      <c r="D28" s="1" t="s">
        <v>3882</v>
      </c>
      <c r="E28" s="1" t="s">
        <v>3604</v>
      </c>
      <c r="F28" s="1" t="s">
        <v>3885</v>
      </c>
      <c r="G28" s="1" t="s">
        <v>3886</v>
      </c>
      <c r="H28" s="1" t="s">
        <v>3886</v>
      </c>
      <c r="I28" s="1" t="s">
        <v>21</v>
      </c>
      <c r="J28" s="1" t="s">
        <v>3889</v>
      </c>
      <c r="K28">
        <v>-67.688023</v>
      </c>
      <c r="L28">
        <v>-34.979176</v>
      </c>
      <c r="O28" s="1" t="s">
        <v>3891</v>
      </c>
      <c r="P28">
        <f t="shared" si="1"/>
        <v>-34.979176</v>
      </c>
      <c r="Q28">
        <f>IFERROR(__xludf.DUMMYFUNCTION("""COMPUTED_VALUE"""),-67.688023)</f>
        <v>-67.688023</v>
      </c>
      <c r="R28" t="str">
        <f>IFERROR(__xludf.DUMMYFUNCTION("""COMPUTED_VALUE"""),"Godoy Cruz 477, Mendoza , Argentina")</f>
        <v>Godoy Cruz 477, Mendoza , Argentina</v>
      </c>
      <c r="S28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29">
      <c r="A29" s="1">
        <v>1346.0</v>
      </c>
      <c r="B29" s="1" t="s">
        <v>248</v>
      </c>
      <c r="C29" s="1">
        <v>16.0</v>
      </c>
      <c r="D29" s="1" t="s">
        <v>3892</v>
      </c>
      <c r="E29" s="1" t="s">
        <v>3604</v>
      </c>
      <c r="F29" s="1" t="s">
        <v>3894</v>
      </c>
      <c r="G29" s="1" t="s">
        <v>3895</v>
      </c>
      <c r="H29" s="1" t="s">
        <v>3895</v>
      </c>
      <c r="I29" s="1" t="s">
        <v>21</v>
      </c>
      <c r="J29" s="1" t="s">
        <v>3897</v>
      </c>
      <c r="K29">
        <v>-67.683115</v>
      </c>
      <c r="L29">
        <v>-34.974904</v>
      </c>
      <c r="O29" s="1" t="s">
        <v>3899</v>
      </c>
      <c r="P29">
        <f t="shared" si="1"/>
        <v>-34.974904</v>
      </c>
      <c r="Q29">
        <f>IFERROR(__xludf.DUMMYFUNCTION("""COMPUTED_VALUE"""),-67.683115)</f>
        <v>-67.683115</v>
      </c>
      <c r="R29" t="str">
        <f>IFERROR(__xludf.DUMMYFUNCTION("""COMPUTED_VALUE"""),"España 1615, Mendoza , Argentina")</f>
        <v>España 1615, Mendoza , Argentina</v>
      </c>
      <c r="S29" t="str">
        <f>IFERROR(__xludf.DUMMYFUNCTION("""COMPUTED_VALUE"""),"España, General Alvear, Distrito Ciudad de General Alvear, Mendoza, AR")</f>
        <v>España, General Alvear, Distrito Ciudad de General Alvear, Mendoza, AR</v>
      </c>
    </row>
    <row r="30">
      <c r="A30" s="1">
        <v>107.0</v>
      </c>
      <c r="B30" s="1" t="s">
        <v>29</v>
      </c>
      <c r="C30" s="1">
        <v>2.0</v>
      </c>
      <c r="D30" s="1" t="s">
        <v>3904</v>
      </c>
      <c r="E30" s="1" t="s">
        <v>3604</v>
      </c>
      <c r="F30" s="1" t="s">
        <v>3905</v>
      </c>
      <c r="G30" s="3" t="s">
        <v>3906</v>
      </c>
      <c r="H30" s="3" t="s">
        <v>3906</v>
      </c>
      <c r="I30" s="1" t="s">
        <v>21</v>
      </c>
      <c r="J30" s="1" t="s">
        <v>3909</v>
      </c>
      <c r="K30">
        <v>-67.68561</v>
      </c>
      <c r="L30">
        <v>-34.972739</v>
      </c>
      <c r="O30" s="1" t="s">
        <v>3911</v>
      </c>
      <c r="P30">
        <f t="shared" si="1"/>
        <v>-34.972739</v>
      </c>
      <c r="Q30">
        <f>IFERROR(__xludf.DUMMYFUNCTION("""COMPUTED_VALUE"""),-67.68561)</f>
        <v>-67.68561</v>
      </c>
      <c r="R30" t="str">
        <f>IFERROR(__xludf.DUMMYFUNCTION("""COMPUTED_VALUE"""),"9 de Julio 1550, Mendoza , Argentina")</f>
        <v>9 de Julio 1550, Mendoza , Argentina</v>
      </c>
      <c r="S30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31">
      <c r="A31" s="1">
        <v>242.0</v>
      </c>
      <c r="B31" s="1" t="s">
        <v>29</v>
      </c>
      <c r="C31" s="1">
        <v>15.0</v>
      </c>
      <c r="D31" s="1" t="s">
        <v>3916</v>
      </c>
      <c r="E31" s="1" t="s">
        <v>3604</v>
      </c>
      <c r="F31" s="1" t="s">
        <v>3905</v>
      </c>
      <c r="G31" s="3" t="s">
        <v>3919</v>
      </c>
      <c r="H31" s="3" t="s">
        <v>3919</v>
      </c>
      <c r="I31" s="1" t="s">
        <v>21</v>
      </c>
      <c r="J31" s="1" t="s">
        <v>3920</v>
      </c>
      <c r="K31">
        <v>-67.68561</v>
      </c>
      <c r="L31">
        <v>-34.972739</v>
      </c>
      <c r="O31" s="1" t="s">
        <v>3921</v>
      </c>
      <c r="P31">
        <f t="shared" si="1"/>
        <v>-34.972739</v>
      </c>
      <c r="Q31">
        <f>IFERROR(__xludf.DUMMYFUNCTION("""COMPUTED_VALUE"""),-67.68561)</f>
        <v>-67.68561</v>
      </c>
      <c r="R31" t="str">
        <f>IFERROR(__xludf.DUMMYFUNCTION("""COMPUTED_VALUE"""),"9 de julio 1539, Mendoza , Argentina")</f>
        <v>9 de julio 1539, Mendoza , Argentina</v>
      </c>
      <c r="S31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32">
      <c r="A32" s="1">
        <v>1203.0</v>
      </c>
      <c r="B32" s="1" t="s">
        <v>227</v>
      </c>
      <c r="C32" s="1">
        <v>3.0</v>
      </c>
      <c r="D32" s="1" t="s">
        <v>3929</v>
      </c>
      <c r="E32" s="1" t="s">
        <v>3604</v>
      </c>
      <c r="F32" s="1" t="s">
        <v>3905</v>
      </c>
      <c r="G32" s="1" t="s">
        <v>1694</v>
      </c>
      <c r="H32" s="1" t="s">
        <v>1694</v>
      </c>
      <c r="I32" s="1" t="s">
        <v>21</v>
      </c>
      <c r="J32" s="1" t="s">
        <v>1697</v>
      </c>
      <c r="K32">
        <v>-67.688023</v>
      </c>
      <c r="L32">
        <v>-34.979176</v>
      </c>
      <c r="O32" s="1" t="s">
        <v>3931</v>
      </c>
      <c r="P32">
        <f t="shared" si="1"/>
        <v>-34.979176</v>
      </c>
      <c r="Q32">
        <f>IFERROR(__xludf.DUMMYFUNCTION("""COMPUTED_VALUE"""),-67.688023)</f>
        <v>-67.688023</v>
      </c>
      <c r="R32" t="str">
        <f>IFERROR(__xludf.DUMMYFUNCTION("""COMPUTED_VALUE"""),"Godoy Cruz 213, Mendoza , Argentina")</f>
        <v>Godoy Cruz 213, Mendoza , Argentina</v>
      </c>
      <c r="S32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33">
      <c r="A33" s="1">
        <v>1235.0</v>
      </c>
      <c r="B33" s="1" t="s">
        <v>227</v>
      </c>
      <c r="C33" s="1">
        <v>9.0</v>
      </c>
      <c r="D33" s="1" t="s">
        <v>3940</v>
      </c>
      <c r="E33" s="1" t="s">
        <v>3604</v>
      </c>
      <c r="F33" s="1" t="s">
        <v>3905</v>
      </c>
      <c r="G33" s="1" t="s">
        <v>3941</v>
      </c>
      <c r="H33" s="1" t="s">
        <v>3943</v>
      </c>
      <c r="I33" s="1" t="s">
        <v>21</v>
      </c>
      <c r="J33" s="1" t="s">
        <v>3945</v>
      </c>
      <c r="K33">
        <v>-67.688023</v>
      </c>
      <c r="L33">
        <v>-34.979176</v>
      </c>
      <c r="O33" s="1" t="s">
        <v>3947</v>
      </c>
      <c r="P33">
        <f t="shared" si="1"/>
        <v>-34.979176</v>
      </c>
      <c r="Q33">
        <f>IFERROR(__xludf.DUMMYFUNCTION("""COMPUTED_VALUE"""),-67.688023)</f>
        <v>-67.688023</v>
      </c>
      <c r="R33" t="str">
        <f>IFERROR(__xludf.DUMMYFUNCTION("""COMPUTED_VALUE"""),"Godoy Cruz 102, Mendoza , Argentina")</f>
        <v>Godoy Cruz 102, Mendoza , Argentina</v>
      </c>
      <c r="S33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34">
      <c r="A34" s="1">
        <v>1271.0</v>
      </c>
      <c r="B34" s="1" t="s">
        <v>248</v>
      </c>
      <c r="C34" s="1">
        <v>5.0</v>
      </c>
      <c r="D34" s="1" t="s">
        <v>3950</v>
      </c>
      <c r="E34" s="1" t="s">
        <v>3604</v>
      </c>
      <c r="F34" s="1" t="s">
        <v>3905</v>
      </c>
      <c r="G34" s="1" t="s">
        <v>3953</v>
      </c>
      <c r="H34" s="1" t="s">
        <v>3953</v>
      </c>
      <c r="I34" s="1" t="s">
        <v>21</v>
      </c>
      <c r="J34" s="1" t="s">
        <v>3957</v>
      </c>
      <c r="K34">
        <v>-67.683115</v>
      </c>
      <c r="L34">
        <v>-34.974904</v>
      </c>
      <c r="O34" s="1" t="s">
        <v>3960</v>
      </c>
      <c r="P34">
        <f t="shared" si="1"/>
        <v>-34.974904</v>
      </c>
      <c r="Q34">
        <f>IFERROR(__xludf.DUMMYFUNCTION("""COMPUTED_VALUE"""),-67.683115)</f>
        <v>-67.683115</v>
      </c>
      <c r="R34" t="str">
        <f>IFERROR(__xludf.DUMMYFUNCTION("""COMPUTED_VALUE"""),"España 1210, Mendoza , Argentina")</f>
        <v>España 1210, Mendoza , Argentina</v>
      </c>
      <c r="S34" t="str">
        <f>IFERROR(__xludf.DUMMYFUNCTION("""COMPUTED_VALUE"""),"España, General Alvear, Distrito Ciudad de General Alvear, Mendoza, AR")</f>
        <v>España, General Alvear, Distrito Ciudad de General Alvear, Mendoza, AR</v>
      </c>
    </row>
    <row r="35">
      <c r="A35" s="1">
        <v>354.0</v>
      </c>
      <c r="B35" s="1" t="s">
        <v>154</v>
      </c>
      <c r="C35" s="1">
        <v>4.0</v>
      </c>
      <c r="D35" s="1" t="s">
        <v>3962</v>
      </c>
      <c r="E35" s="1" t="s">
        <v>3604</v>
      </c>
      <c r="F35" s="1" t="s">
        <v>3963</v>
      </c>
      <c r="G35" s="1" t="s">
        <v>3964</v>
      </c>
      <c r="H35" s="1" t="s">
        <v>3964</v>
      </c>
      <c r="I35" s="1" t="s">
        <v>21</v>
      </c>
      <c r="J35" s="1" t="s">
        <v>3965</v>
      </c>
      <c r="K35">
        <v>-68.343665</v>
      </c>
      <c r="L35">
        <v>-34.622798</v>
      </c>
      <c r="O35" s="1" t="s">
        <v>3968</v>
      </c>
      <c r="P35">
        <f t="shared" si="1"/>
        <v>-34.622798</v>
      </c>
      <c r="Q35">
        <f>IFERROR(__xludf.DUMMYFUNCTION("""COMPUTED_VALUE"""),-68.343665)</f>
        <v>-68.343665</v>
      </c>
      <c r="R35" t="str">
        <f>IFERROR(__xludf.DUMMYFUNCTION("""COMPUTED_VALUE"""),"Av, Sarmiento 720, Mendoza , Argentina")</f>
        <v>Av, Sarmiento 720, Mendoza , Argentina</v>
      </c>
      <c r="S35" t="str">
        <f>IFERROR(__xludf.DUMMYFUNCTION("""COMPUTED_VALUE"""),"Avenida Sarmiento 720, San Rafael, Distrito Ciudad de San Rafael, Mendoza, AR")</f>
        <v>Avenida Sarmiento 720, San Rafael, Distrito Ciudad de San Rafael, Mendoza, AR</v>
      </c>
    </row>
    <row r="36">
      <c r="A36" s="1">
        <v>1292.0</v>
      </c>
      <c r="B36" s="1" t="s">
        <v>248</v>
      </c>
      <c r="C36" s="1">
        <v>8.0</v>
      </c>
      <c r="D36" s="1" t="s">
        <v>3975</v>
      </c>
      <c r="E36" s="1" t="s">
        <v>3604</v>
      </c>
      <c r="F36" s="1" t="s">
        <v>3963</v>
      </c>
      <c r="G36" s="1" t="s">
        <v>1202</v>
      </c>
      <c r="H36" s="1" t="s">
        <v>3976</v>
      </c>
      <c r="I36" s="1" t="s">
        <v>21</v>
      </c>
      <c r="J36" s="1" t="s">
        <v>1205</v>
      </c>
      <c r="K36">
        <v>-67.683115</v>
      </c>
      <c r="L36">
        <v>-34.974904</v>
      </c>
      <c r="O36" s="1" t="s">
        <v>3978</v>
      </c>
      <c r="P36">
        <f t="shared" si="1"/>
        <v>-34.974904</v>
      </c>
      <c r="Q36">
        <f>IFERROR(__xludf.DUMMYFUNCTION("""COMPUTED_VALUE"""),-67.683115)</f>
        <v>-67.683115</v>
      </c>
      <c r="R36" t="str">
        <f>IFERROR(__xludf.DUMMYFUNCTION("""COMPUTED_VALUE"""),"España 948, Mendoza , Argentina")</f>
        <v>España 948, Mendoza , Argentina</v>
      </c>
      <c r="S36" t="str">
        <f>IFERROR(__xludf.DUMMYFUNCTION("""COMPUTED_VALUE"""),"España, General Alvear, Distrito Ciudad de General Alvear, Mendoza, AR")</f>
        <v>España, General Alvear, Distrito Ciudad de General Alvear, Mendoza, AR</v>
      </c>
    </row>
    <row r="37">
      <c r="B37" s="1" t="s">
        <v>248</v>
      </c>
      <c r="C37" s="1">
        <v>13.0</v>
      </c>
      <c r="D37" s="1" t="s">
        <v>3984</v>
      </c>
      <c r="E37" s="1" t="s">
        <v>3604</v>
      </c>
      <c r="F37" s="1" t="s">
        <v>3963</v>
      </c>
      <c r="G37" s="1" t="s">
        <v>3985</v>
      </c>
      <c r="H37" s="1" t="s">
        <v>3985</v>
      </c>
      <c r="I37" s="1" t="s">
        <v>21</v>
      </c>
      <c r="J37" s="1" t="s">
        <v>3987</v>
      </c>
      <c r="K37">
        <v>-67.683115</v>
      </c>
      <c r="L37">
        <v>-34.974904</v>
      </c>
      <c r="O37" s="1" t="s">
        <v>3990</v>
      </c>
      <c r="P37">
        <f t="shared" si="1"/>
        <v>-34.974904</v>
      </c>
      <c r="Q37">
        <f>IFERROR(__xludf.DUMMYFUNCTION("""COMPUTED_VALUE"""),-67.683115)</f>
        <v>-67.683115</v>
      </c>
      <c r="R37" t="str">
        <f>IFERROR(__xludf.DUMMYFUNCTION("""COMPUTED_VALUE"""),"España 1302, Mendoza , Argentina")</f>
        <v>España 1302, Mendoza , Argentina</v>
      </c>
      <c r="S37" t="str">
        <f>IFERROR(__xludf.DUMMYFUNCTION("""COMPUTED_VALUE"""),"España, General Alvear, Distrito Ciudad de General Alvear, Mendoza, AR")</f>
        <v>España, General Alvear, Distrito Ciudad de General Alvear, Mendoza, AR</v>
      </c>
    </row>
    <row r="38">
      <c r="A38" s="1">
        <v>333.0</v>
      </c>
      <c r="B38" s="1" t="s">
        <v>154</v>
      </c>
      <c r="C38" s="1">
        <v>1.0</v>
      </c>
      <c r="D38" s="1" t="s">
        <v>3995</v>
      </c>
      <c r="E38" s="1" t="s">
        <v>3604</v>
      </c>
      <c r="F38" s="1" t="s">
        <v>3996</v>
      </c>
      <c r="G38" s="1" t="s">
        <v>3997</v>
      </c>
      <c r="H38" s="1" t="s">
        <v>3997</v>
      </c>
      <c r="I38" s="1" t="s">
        <v>21</v>
      </c>
      <c r="J38" s="1" t="s">
        <v>3998</v>
      </c>
      <c r="K38">
        <v>-68.343472</v>
      </c>
      <c r="L38">
        <v>-34.61027</v>
      </c>
      <c r="O38" s="1" t="s">
        <v>3999</v>
      </c>
      <c r="P38">
        <f t="shared" si="1"/>
        <v>-34.61027</v>
      </c>
      <c r="Q38">
        <f>IFERROR(__xludf.DUMMYFUNCTION("""COMPUTED_VALUE"""),-68.343472)</f>
        <v>-68.343472</v>
      </c>
      <c r="R38" t="str">
        <f>IFERROR(__xludf.DUMMYFUNCTION("""COMPUTED_VALUE"""),"Chile 1144, Mendoza , Argentina")</f>
        <v>Chile 1144, Mendoza , Argentina</v>
      </c>
      <c r="S38" t="str">
        <f>IFERROR(__xludf.DUMMYFUNCTION("""COMPUTED_VALUE"""),"Chile 1144, San Rafael, Distrito Ciudad de San Rafael, Mendoza, AR")</f>
        <v>Chile 1144, San Rafael, Distrito Ciudad de San Rafael, Mendoza, AR</v>
      </c>
    </row>
    <row r="39">
      <c r="A39" s="1">
        <v>55.0</v>
      </c>
      <c r="B39" s="1" t="s">
        <v>12</v>
      </c>
      <c r="C39" s="1">
        <v>11.0</v>
      </c>
      <c r="D39" s="1" t="s">
        <v>4004</v>
      </c>
      <c r="E39" s="1" t="s">
        <v>3604</v>
      </c>
      <c r="F39" s="1" t="s">
        <v>4006</v>
      </c>
      <c r="G39" s="1" t="s">
        <v>4007</v>
      </c>
      <c r="H39" s="1" t="s">
        <v>4007</v>
      </c>
      <c r="I39" s="1" t="s">
        <v>21</v>
      </c>
      <c r="J39" s="1" t="s">
        <v>4009</v>
      </c>
      <c r="K39">
        <v>-68.850996</v>
      </c>
      <c r="L39">
        <v>-32.906528</v>
      </c>
      <c r="O39" s="1" t="s">
        <v>4010</v>
      </c>
      <c r="P39">
        <f t="shared" si="1"/>
        <v>-32.906528</v>
      </c>
      <c r="Q39">
        <f>IFERROR(__xludf.DUMMYFUNCTION("""COMPUTED_VALUE"""),-68.850996)</f>
        <v>-68.850996</v>
      </c>
      <c r="R39" t="str">
        <f>IFERROR(__xludf.DUMMYFUNCTION("""COMPUTED_VALUE"""),"Juan B, Justo 536, Mendoza , Argentina")</f>
        <v>Juan B, Justo 536, Mendoza , Argentina</v>
      </c>
      <c r="S39" t="str">
        <f>IFERROR(__xludf.DUMMYFUNCTION("""COMPUTED_VALUE"""),"Juan B, Justo 536, Villa Mercedes, Departamento Godoy Cruz, Mendoza, AR")</f>
        <v>Juan B, Justo 536, Villa Mercedes, Departamento Godoy Cruz, Mendoza, AR</v>
      </c>
    </row>
    <row r="40">
      <c r="A40" s="1">
        <v>125.0</v>
      </c>
      <c r="B40" s="1" t="s">
        <v>29</v>
      </c>
      <c r="C40" s="1">
        <v>6.0</v>
      </c>
      <c r="D40" s="1" t="s">
        <v>4013</v>
      </c>
      <c r="E40" s="1" t="s">
        <v>3604</v>
      </c>
      <c r="F40" s="1" t="s">
        <v>4006</v>
      </c>
      <c r="G40" s="1" t="s">
        <v>4014</v>
      </c>
      <c r="H40" s="1" t="s">
        <v>4014</v>
      </c>
      <c r="I40" s="1" t="s">
        <v>21</v>
      </c>
      <c r="J40" s="1" t="s">
        <v>4015</v>
      </c>
      <c r="K40">
        <v>-100.445882</v>
      </c>
      <c r="L40">
        <v>39.78373</v>
      </c>
      <c r="O40" s="1" t="s">
        <v>4016</v>
      </c>
      <c r="P40">
        <f t="shared" si="1"/>
        <v>39.78373</v>
      </c>
      <c r="Q40">
        <f>IFERROR(__xludf.DUMMYFUNCTION("""COMPUTED_VALUE"""),-100.445882)</f>
        <v>-100.445882</v>
      </c>
      <c r="R40" t="str">
        <f>IFERROR(__xludf.DUMMYFUNCTION("""COMPUTED_VALUE"""),"9 de Julio 1126 Dpto 25, Mendoza , Argentina")</f>
        <v>9 de Julio 1126 Dpto 25, Mendoza , Argentina</v>
      </c>
      <c r="S40" t="str">
        <f>IFERROR(__xludf.DUMMYFUNCTION("""COMPUTED_VALUE"""),"US")</f>
        <v>US</v>
      </c>
    </row>
    <row r="41">
      <c r="A41" s="1">
        <v>129.0</v>
      </c>
      <c r="B41" s="1" t="s">
        <v>29</v>
      </c>
      <c r="C41" s="1">
        <v>6.0</v>
      </c>
      <c r="D41" s="1" t="s">
        <v>4019</v>
      </c>
      <c r="E41" s="1" t="s">
        <v>3604</v>
      </c>
      <c r="F41" s="1" t="s">
        <v>4006</v>
      </c>
      <c r="G41" s="1" t="s">
        <v>4020</v>
      </c>
      <c r="H41" s="1" t="s">
        <v>4020</v>
      </c>
      <c r="I41" s="1" t="s">
        <v>21</v>
      </c>
      <c r="J41" s="1" t="s">
        <v>4021</v>
      </c>
      <c r="K41">
        <v>-100.445882</v>
      </c>
      <c r="L41">
        <v>39.78373</v>
      </c>
      <c r="O41" s="1" t="s">
        <v>4022</v>
      </c>
      <c r="P41">
        <f t="shared" si="1"/>
        <v>39.78373</v>
      </c>
      <c r="Q41">
        <f>IFERROR(__xludf.DUMMYFUNCTION("""COMPUTED_VALUE"""),-100.445882)</f>
        <v>-100.445882</v>
      </c>
      <c r="R41" t="str">
        <f>IFERROR(__xludf.DUMMYFUNCTION("""COMPUTED_VALUE"""),"9 de Julio 1126 Dpto 17, Mendoza , Argentina")</f>
        <v>9 de Julio 1126 Dpto 17, Mendoza , Argentina</v>
      </c>
      <c r="S41" t="str">
        <f>IFERROR(__xludf.DUMMYFUNCTION("""COMPUTED_VALUE"""),"US")</f>
        <v>US</v>
      </c>
    </row>
    <row r="42">
      <c r="A42" s="1">
        <v>132.0</v>
      </c>
      <c r="B42" s="1" t="s">
        <v>29</v>
      </c>
      <c r="C42" s="1">
        <v>6.0</v>
      </c>
      <c r="D42" s="1" t="s">
        <v>4027</v>
      </c>
      <c r="E42" s="1" t="s">
        <v>3604</v>
      </c>
      <c r="F42" s="1" t="s">
        <v>4006</v>
      </c>
      <c r="G42" s="1" t="s">
        <v>4029</v>
      </c>
      <c r="H42" s="1" t="s">
        <v>4029</v>
      </c>
      <c r="I42" s="1" t="s">
        <v>21</v>
      </c>
      <c r="J42" s="1" t="s">
        <v>4030</v>
      </c>
      <c r="K42">
        <v>-100.445882</v>
      </c>
      <c r="L42">
        <v>39.78373</v>
      </c>
      <c r="O42" s="1" t="s">
        <v>4031</v>
      </c>
      <c r="P42">
        <f t="shared" si="1"/>
        <v>39.78373</v>
      </c>
      <c r="Q42">
        <f>IFERROR(__xludf.DUMMYFUNCTION("""COMPUTED_VALUE"""),-100.445882)</f>
        <v>-100.445882</v>
      </c>
      <c r="R42" t="str">
        <f>IFERROR(__xludf.DUMMYFUNCTION("""COMPUTED_VALUE"""),"9 de Julio 1126 Dpto 6, Mendoza , Argentina")</f>
        <v>9 de Julio 1126 Dpto 6, Mendoza , Argentina</v>
      </c>
      <c r="S42" t="str">
        <f>IFERROR(__xludf.DUMMYFUNCTION("""COMPUTED_VALUE"""),"US")</f>
        <v>US</v>
      </c>
    </row>
    <row r="43">
      <c r="A43" s="1">
        <v>144.0</v>
      </c>
      <c r="B43" s="1" t="s">
        <v>29</v>
      </c>
      <c r="C43" s="1">
        <v>7.0</v>
      </c>
      <c r="D43" s="1" t="s">
        <v>4033</v>
      </c>
      <c r="E43" s="1" t="s">
        <v>3604</v>
      </c>
      <c r="F43" s="1" t="s">
        <v>4006</v>
      </c>
      <c r="G43" s="3" t="s">
        <v>2196</v>
      </c>
      <c r="H43" s="3" t="s">
        <v>2196</v>
      </c>
      <c r="I43" s="1" t="s">
        <v>21</v>
      </c>
      <c r="J43" s="1" t="s">
        <v>4038</v>
      </c>
      <c r="K43">
        <v>-67.68561</v>
      </c>
      <c r="L43">
        <v>-34.972739</v>
      </c>
      <c r="O43" s="1" t="s">
        <v>4040</v>
      </c>
      <c r="P43">
        <f t="shared" si="1"/>
        <v>-34.972739</v>
      </c>
      <c r="Q43">
        <f>IFERROR(__xludf.DUMMYFUNCTION("""COMPUTED_VALUE"""),-67.68561)</f>
        <v>-67.68561</v>
      </c>
      <c r="R43" t="str">
        <f>IFERROR(__xludf.DUMMYFUNCTION("""COMPUTED_VALUE"""),"9 de julio 1068, Mendoza , Argentina")</f>
        <v>9 de julio 1068, Mendoza , Argentina</v>
      </c>
      <c r="S43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44">
      <c r="A44" s="1">
        <v>156.0</v>
      </c>
      <c r="B44" s="1" t="s">
        <v>29</v>
      </c>
      <c r="C44" s="1">
        <v>7.0</v>
      </c>
      <c r="D44" s="1" t="s">
        <v>4042</v>
      </c>
      <c r="E44" s="1" t="s">
        <v>3604</v>
      </c>
      <c r="F44" s="1" t="s">
        <v>4006</v>
      </c>
      <c r="G44" s="3" t="s">
        <v>4043</v>
      </c>
      <c r="H44" s="3" t="s">
        <v>4043</v>
      </c>
      <c r="I44" s="1" t="s">
        <v>21</v>
      </c>
      <c r="J44" s="1" t="s">
        <v>4044</v>
      </c>
      <c r="K44">
        <v>-67.68561</v>
      </c>
      <c r="L44">
        <v>-34.972739</v>
      </c>
      <c r="O44" s="1" t="s">
        <v>4047</v>
      </c>
      <c r="P44">
        <f t="shared" si="1"/>
        <v>-34.972739</v>
      </c>
      <c r="Q44">
        <f>IFERROR(__xludf.DUMMYFUNCTION("""COMPUTED_VALUE"""),-67.68561)</f>
        <v>-67.68561</v>
      </c>
      <c r="R44" t="str">
        <f>IFERROR(__xludf.DUMMYFUNCTION("""COMPUTED_VALUE"""),"9 de Julio 1042, Mendoza , Argentina")</f>
        <v>9 de Julio 1042, Mendoza , Argentina</v>
      </c>
      <c r="S44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45">
      <c r="A45" s="1">
        <v>166.0</v>
      </c>
      <c r="B45" s="1" t="s">
        <v>29</v>
      </c>
      <c r="C45" s="1">
        <v>8.0</v>
      </c>
      <c r="D45" s="1" t="s">
        <v>3727</v>
      </c>
      <c r="E45" s="1" t="s">
        <v>3604</v>
      </c>
      <c r="F45" s="1" t="s">
        <v>4006</v>
      </c>
      <c r="G45" s="3" t="s">
        <v>3731</v>
      </c>
      <c r="H45" s="3" t="s">
        <v>3731</v>
      </c>
      <c r="I45" s="1" t="s">
        <v>21</v>
      </c>
      <c r="J45" s="1" t="s">
        <v>4053</v>
      </c>
      <c r="K45">
        <v>-67.68561</v>
      </c>
      <c r="L45">
        <v>-34.972739</v>
      </c>
      <c r="O45" s="1" t="s">
        <v>4055</v>
      </c>
      <c r="P45">
        <f t="shared" si="1"/>
        <v>-34.972739</v>
      </c>
      <c r="Q45">
        <f>IFERROR(__xludf.DUMMYFUNCTION("""COMPUTED_VALUE"""),-67.68561)</f>
        <v>-67.68561</v>
      </c>
      <c r="R45" t="str">
        <f>IFERROR(__xludf.DUMMYFUNCTION("""COMPUTED_VALUE"""),"9 de Julio 968, Mendoza , Argentina")</f>
        <v>9 de Julio 968, Mendoza , Argentina</v>
      </c>
      <c r="S45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46">
      <c r="A46" s="1">
        <v>291.0</v>
      </c>
      <c r="B46" s="1" t="s">
        <v>51</v>
      </c>
      <c r="C46" s="1">
        <v>3.0</v>
      </c>
      <c r="D46" s="4" t="s">
        <v>4058</v>
      </c>
      <c r="E46" s="1" t="s">
        <v>3604</v>
      </c>
      <c r="F46" s="1" t="s">
        <v>4006</v>
      </c>
      <c r="G46" s="1" t="s">
        <v>4080</v>
      </c>
      <c r="H46" s="1" t="s">
        <v>4080</v>
      </c>
      <c r="I46" s="1" t="s">
        <v>21</v>
      </c>
      <c r="J46" s="1" t="s">
        <v>4081</v>
      </c>
      <c r="K46">
        <v>-100.445882</v>
      </c>
      <c r="L46">
        <v>39.78373</v>
      </c>
      <c r="O46" s="1" t="s">
        <v>4082</v>
      </c>
      <c r="P46">
        <f t="shared" si="1"/>
        <v>39.78373</v>
      </c>
      <c r="Q46">
        <f>IFERROR(__xludf.DUMMYFUNCTION("""COMPUTED_VALUE"""),-100.445882)</f>
        <v>-100.445882</v>
      </c>
      <c r="R46" t="str">
        <f>IFERROR(__xludf.DUMMYFUNCTION("""COMPUTED_VALUE"""),"Peatonal Sarmiento 223, Mendoza , Argentina")</f>
        <v>Peatonal Sarmiento 223, Mendoza , Argentina</v>
      </c>
      <c r="S46" t="str">
        <f>IFERROR(__xludf.DUMMYFUNCTION("""COMPUTED_VALUE"""),"US")</f>
        <v>US</v>
      </c>
    </row>
    <row r="47">
      <c r="A47" s="1">
        <v>294.0</v>
      </c>
      <c r="B47" s="1" t="s">
        <v>51</v>
      </c>
      <c r="C47" s="1">
        <v>3.0</v>
      </c>
      <c r="D47" s="1" t="s">
        <v>4088</v>
      </c>
      <c r="E47" s="1" t="s">
        <v>3604</v>
      </c>
      <c r="F47" s="1" t="s">
        <v>4006</v>
      </c>
      <c r="G47" s="1" t="s">
        <v>4090</v>
      </c>
      <c r="H47" s="1" t="s">
        <v>4090</v>
      </c>
      <c r="I47" s="1" t="s">
        <v>21</v>
      </c>
      <c r="J47" s="1" t="s">
        <v>4092</v>
      </c>
      <c r="K47">
        <v>-68.840714</v>
      </c>
      <c r="L47">
        <v>-32.890424</v>
      </c>
      <c r="O47" s="1" t="s">
        <v>4094</v>
      </c>
      <c r="P47">
        <f t="shared" si="1"/>
        <v>-32.890424</v>
      </c>
      <c r="Q47">
        <f>IFERROR(__xludf.DUMMYFUNCTION("""COMPUTED_VALUE"""),-68.840714)</f>
        <v>-68.840714</v>
      </c>
      <c r="R47" t="str">
        <f>IFERROR(__xludf.DUMMYFUNCTION("""COMPUTED_VALUE"""),"Peatonal Sarmiento 231, Mendoza , Argentina")</f>
        <v>Peatonal Sarmiento 231, Mendoza , Argentina</v>
      </c>
      <c r="S47" t="str">
        <f>IFERROR(__xludf.DUMMYFUNCTION("""COMPUTED_VALUE"""),"Sarmiento, Ciudad de Mendoza, Sección 3ª Parque O'Higgins, Mendoza, AR")</f>
        <v>Sarmiento, Ciudad de Mendoza, Sección 3ª Parque O'Higgins, Mendoza, AR</v>
      </c>
    </row>
    <row r="48">
      <c r="A48" s="1">
        <v>299.0</v>
      </c>
      <c r="B48" s="1" t="s">
        <v>51</v>
      </c>
      <c r="C48" s="1">
        <v>4.0</v>
      </c>
      <c r="D48" s="1" t="s">
        <v>4099</v>
      </c>
      <c r="E48" s="1" t="s">
        <v>3604</v>
      </c>
      <c r="F48" s="1" t="s">
        <v>4006</v>
      </c>
      <c r="G48" s="1" t="s">
        <v>1947</v>
      </c>
      <c r="H48" s="1" t="s">
        <v>4101</v>
      </c>
      <c r="I48" s="1" t="s">
        <v>21</v>
      </c>
      <c r="J48" s="1" t="s">
        <v>1949</v>
      </c>
      <c r="K48">
        <v>-100.445882</v>
      </c>
      <c r="L48">
        <v>39.78373</v>
      </c>
      <c r="O48" s="1" t="s">
        <v>1951</v>
      </c>
      <c r="P48">
        <f t="shared" si="1"/>
        <v>39.78373</v>
      </c>
      <c r="Q48">
        <f>IFERROR(__xludf.DUMMYFUNCTION("""COMPUTED_VALUE"""),-100.445882)</f>
        <v>-100.445882</v>
      </c>
      <c r="R48" t="str">
        <f>IFERROR(__xludf.DUMMYFUNCTION("""COMPUTED_VALUE"""),"Peatonal Sarmiento 290, Mendoza , Argentina")</f>
        <v>Peatonal Sarmiento 290, Mendoza , Argentina</v>
      </c>
      <c r="S48" t="str">
        <f>IFERROR(__xludf.DUMMYFUNCTION("""COMPUTED_VALUE"""),"US")</f>
        <v>US</v>
      </c>
    </row>
    <row r="49">
      <c r="A49" s="1">
        <v>324.0</v>
      </c>
      <c r="B49" s="1" t="s">
        <v>51</v>
      </c>
      <c r="C49" s="1">
        <v>6.0</v>
      </c>
      <c r="D49" s="1" t="s">
        <v>4105</v>
      </c>
      <c r="E49" s="1" t="s">
        <v>3604</v>
      </c>
      <c r="F49" s="1" t="s">
        <v>4006</v>
      </c>
      <c r="G49" s="1" t="s">
        <v>4106</v>
      </c>
      <c r="H49" s="1" t="s">
        <v>4108</v>
      </c>
      <c r="I49" s="1" t="s">
        <v>21</v>
      </c>
      <c r="J49" s="1" t="s">
        <v>4109</v>
      </c>
      <c r="K49">
        <v>-100.445882</v>
      </c>
      <c r="L49">
        <v>39.78373</v>
      </c>
      <c r="O49" s="1" t="s">
        <v>4111</v>
      </c>
      <c r="P49">
        <f t="shared" si="1"/>
        <v>39.78373</v>
      </c>
      <c r="Q49">
        <f>IFERROR(__xludf.DUMMYFUNCTION("""COMPUTED_VALUE"""),-100.445882)</f>
        <v>-100.445882</v>
      </c>
      <c r="R49" t="str">
        <f>IFERROR(__xludf.DUMMYFUNCTION("""COMPUTED_VALUE"""),"Peatonal Sarmiento 74, Mendoza , Argentina")</f>
        <v>Peatonal Sarmiento 74, Mendoza , Argentina</v>
      </c>
      <c r="S49" t="str">
        <f>IFERROR(__xludf.DUMMYFUNCTION("""COMPUTED_VALUE"""),"US")</f>
        <v>US</v>
      </c>
    </row>
    <row r="50">
      <c r="A50" s="1">
        <v>337.0</v>
      </c>
      <c r="B50" s="1" t="s">
        <v>154</v>
      </c>
      <c r="C50" s="1">
        <v>2.0</v>
      </c>
      <c r="D50" s="1" t="s">
        <v>4117</v>
      </c>
      <c r="E50" s="1" t="s">
        <v>3604</v>
      </c>
      <c r="F50" s="1" t="s">
        <v>4006</v>
      </c>
      <c r="G50" s="1" t="s">
        <v>4118</v>
      </c>
      <c r="H50" s="1" t="s">
        <v>4118</v>
      </c>
      <c r="I50" s="1" t="s">
        <v>21</v>
      </c>
      <c r="J50" s="1" t="s">
        <v>4119</v>
      </c>
      <c r="K50">
        <v>-68.342739</v>
      </c>
      <c r="L50">
        <v>-34.623268</v>
      </c>
      <c r="O50" s="1" t="s">
        <v>4120</v>
      </c>
      <c r="P50">
        <f t="shared" si="1"/>
        <v>-34.623268</v>
      </c>
      <c r="Q50">
        <f>IFERROR(__xludf.DUMMYFUNCTION("""COMPUTED_VALUE"""),-68.342739)</f>
        <v>-68.342739</v>
      </c>
      <c r="R50" t="str">
        <f>IFERROR(__xludf.DUMMYFUNCTION("""COMPUTED_VALUE"""),"Av, Sarmiento 647, Mendoza , Argentina")</f>
        <v>Av, Sarmiento 647, Mendoza , Argentina</v>
      </c>
      <c r="S50" t="str">
        <f>IFERROR(__xludf.DUMMYFUNCTION("""COMPUTED_VALUE"""),"Avenida Sarmiento 647, San Rafael, Distrito Ciudad de San Rafael, Mendoza, AR")</f>
        <v>Avenida Sarmiento 647, San Rafael, Distrito Ciudad de San Rafael, Mendoza, AR</v>
      </c>
    </row>
    <row r="51">
      <c r="A51" s="1">
        <v>339.0</v>
      </c>
      <c r="B51" s="1" t="s">
        <v>154</v>
      </c>
      <c r="C51" s="1">
        <v>2.0</v>
      </c>
      <c r="D51" s="1" t="s">
        <v>4125</v>
      </c>
      <c r="E51" s="1" t="s">
        <v>3604</v>
      </c>
      <c r="F51" s="1" t="s">
        <v>4006</v>
      </c>
      <c r="G51" s="1" t="s">
        <v>4126</v>
      </c>
      <c r="H51" s="1" t="s">
        <v>2342</v>
      </c>
      <c r="I51" s="1" t="s">
        <v>21</v>
      </c>
      <c r="J51" s="1" t="s">
        <v>4127</v>
      </c>
      <c r="K51">
        <v>-68.34302</v>
      </c>
      <c r="L51">
        <v>-34.623174</v>
      </c>
      <c r="O51" s="1" t="s">
        <v>4128</v>
      </c>
      <c r="P51">
        <f t="shared" si="1"/>
        <v>-34.623174</v>
      </c>
      <c r="Q51">
        <f>IFERROR(__xludf.DUMMYFUNCTION("""COMPUTED_VALUE"""),-68.34302)</f>
        <v>-68.34302</v>
      </c>
      <c r="R51" t="str">
        <f>IFERROR(__xludf.DUMMYFUNCTION("""COMPUTED_VALUE"""),"Av, Sarmiento 675, Mendoza , Argentina")</f>
        <v>Av, Sarmiento 675, Mendoza , Argentina</v>
      </c>
      <c r="S51" t="str">
        <f>IFERROR(__xludf.DUMMYFUNCTION("""COMPUTED_VALUE"""),"Avenida Sarmiento 675, San Rafael, Distrito Ciudad de San Rafael, Mendoza, AR")</f>
        <v>Avenida Sarmiento 675, San Rafael, Distrito Ciudad de San Rafael, Mendoza, AR</v>
      </c>
    </row>
    <row r="52">
      <c r="A52" s="1">
        <v>340.0</v>
      </c>
      <c r="B52" s="1" t="s">
        <v>154</v>
      </c>
      <c r="C52" s="1">
        <v>2.0</v>
      </c>
      <c r="D52" s="1" t="s">
        <v>4134</v>
      </c>
      <c r="E52" s="1" t="s">
        <v>3604</v>
      </c>
      <c r="F52" s="1" t="s">
        <v>4006</v>
      </c>
      <c r="G52" s="1" t="s">
        <v>4126</v>
      </c>
      <c r="H52" s="1" t="s">
        <v>4135</v>
      </c>
      <c r="I52" s="1" t="s">
        <v>21</v>
      </c>
      <c r="J52" s="1" t="s">
        <v>4127</v>
      </c>
      <c r="K52">
        <v>-68.34302</v>
      </c>
      <c r="L52">
        <v>-34.623174</v>
      </c>
      <c r="O52" s="1" t="s">
        <v>4128</v>
      </c>
      <c r="P52">
        <f t="shared" si="1"/>
        <v>-34.623174</v>
      </c>
      <c r="Q52">
        <f>IFERROR(__xludf.DUMMYFUNCTION("""COMPUTED_VALUE"""),-68.34302)</f>
        <v>-68.34302</v>
      </c>
      <c r="R52" t="str">
        <f>IFERROR(__xludf.DUMMYFUNCTION("""COMPUTED_VALUE"""),"Av, Sarmiento 675, Mendoza , Argentina")</f>
        <v>Av, Sarmiento 675, Mendoza , Argentina</v>
      </c>
      <c r="S52" t="str">
        <f>IFERROR(__xludf.DUMMYFUNCTION("""COMPUTED_VALUE"""),"Avenida Sarmiento 675, San Rafael, Distrito Ciudad de San Rafael, Mendoza, AR")</f>
        <v>Avenida Sarmiento 675, San Rafael, Distrito Ciudad de San Rafael, Mendoza, AR</v>
      </c>
    </row>
    <row r="53">
      <c r="A53" s="1">
        <v>350.0</v>
      </c>
      <c r="B53" s="1" t="s">
        <v>154</v>
      </c>
      <c r="C53" s="1">
        <v>4.0</v>
      </c>
      <c r="D53" s="1" t="s">
        <v>2348</v>
      </c>
      <c r="E53" s="1" t="s">
        <v>3604</v>
      </c>
      <c r="F53" s="1" t="s">
        <v>4006</v>
      </c>
      <c r="G53" s="1" t="s">
        <v>4144</v>
      </c>
      <c r="H53" s="1" t="s">
        <v>2350</v>
      </c>
      <c r="I53" s="1" t="s">
        <v>21</v>
      </c>
      <c r="J53" s="1" t="s">
        <v>4146</v>
      </c>
      <c r="K53">
        <v>-68.344302</v>
      </c>
      <c r="L53">
        <v>-34.622565</v>
      </c>
      <c r="O53" s="1" t="s">
        <v>4147</v>
      </c>
      <c r="P53">
        <f t="shared" si="1"/>
        <v>-34.622565</v>
      </c>
      <c r="Q53">
        <f>IFERROR(__xludf.DUMMYFUNCTION("""COMPUTED_VALUE"""),-68.344302)</f>
        <v>-68.344302</v>
      </c>
      <c r="R53" t="str">
        <f>IFERROR(__xludf.DUMMYFUNCTION("""COMPUTED_VALUE"""),"Av, Sarmiento 784, Mendoza , Argentina")</f>
        <v>Av, Sarmiento 784, Mendoza , Argentina</v>
      </c>
      <c r="S53" t="str">
        <f>IFERROR(__xludf.DUMMYFUNCTION("""COMPUTED_VALUE"""),"Avenida Sarmiento 784, San Rafael, Distrito Ciudad de San Rafael, Mendoza, AR")</f>
        <v>Avenida Sarmiento 784, San Rafael, Distrito Ciudad de San Rafael, Mendoza, AR</v>
      </c>
    </row>
    <row r="54">
      <c r="A54" s="1">
        <v>637.0</v>
      </c>
      <c r="B54" s="1" t="s">
        <v>109</v>
      </c>
      <c r="C54" s="1">
        <v>14.0</v>
      </c>
      <c r="D54" s="1" t="s">
        <v>4152</v>
      </c>
      <c r="E54" s="1" t="s">
        <v>3604</v>
      </c>
      <c r="F54" s="1" t="s">
        <v>4006</v>
      </c>
      <c r="G54" s="1" t="s">
        <v>4154</v>
      </c>
      <c r="H54" s="1" t="s">
        <v>4154</v>
      </c>
      <c r="I54" s="1" t="s">
        <v>21</v>
      </c>
      <c r="J54" s="1" t="s">
        <v>4156</v>
      </c>
      <c r="K54">
        <v>-100.445882</v>
      </c>
      <c r="L54">
        <v>39.78373</v>
      </c>
      <c r="O54" s="1" t="s">
        <v>4160</v>
      </c>
      <c r="P54">
        <f t="shared" si="1"/>
        <v>39.78373</v>
      </c>
      <c r="Q54">
        <f>IFERROR(__xludf.DUMMYFUNCTION("""COMPUTED_VALUE"""),-100.445882)</f>
        <v>-100.445882</v>
      </c>
      <c r="R54" t="str">
        <f>IFERROR(__xludf.DUMMYFUNCTION("""COMPUTED_VALUE"""),"Av, San Martín 1070 local 2, Mendoza , Argentina")</f>
        <v>Av, San Martín 1070 local 2, Mendoza , Argentina</v>
      </c>
      <c r="S54" t="str">
        <f>IFERROR(__xludf.DUMMYFUNCTION("""COMPUTED_VALUE"""),"US")</f>
        <v>US</v>
      </c>
    </row>
    <row r="55">
      <c r="A55" s="1">
        <v>862.0</v>
      </c>
      <c r="B55" s="1" t="s">
        <v>55</v>
      </c>
      <c r="C55" s="1">
        <v>6.0</v>
      </c>
      <c r="D55" s="1" t="s">
        <v>4165</v>
      </c>
      <c r="E55" s="1" t="s">
        <v>3604</v>
      </c>
      <c r="F55" s="1" t="s">
        <v>4006</v>
      </c>
      <c r="G55" s="1" t="s">
        <v>3748</v>
      </c>
      <c r="H55" s="1" t="s">
        <v>4167</v>
      </c>
      <c r="I55" s="1" t="s">
        <v>21</v>
      </c>
      <c r="J55" s="1" t="s">
        <v>3751</v>
      </c>
      <c r="K55">
        <v>-68.844661</v>
      </c>
      <c r="L55">
        <v>-32.885196</v>
      </c>
      <c r="O55" s="1" t="s">
        <v>4168</v>
      </c>
      <c r="P55">
        <f t="shared" si="1"/>
        <v>-32.885196</v>
      </c>
      <c r="Q55">
        <f>IFERROR(__xludf.DUMMYFUNCTION("""COMPUTED_VALUE"""),-68.844661)</f>
        <v>-68.844661</v>
      </c>
      <c r="R55" t="str">
        <f>IFERROR(__xludf.DUMMYFUNCTION("""COMPUTED_VALUE"""),"Av, Las Heras 529, Mendoza , Argentina")</f>
        <v>Av, Las Heras 529, Mendoza , Argentina</v>
      </c>
      <c r="S55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56">
      <c r="A56" s="1">
        <v>865.0</v>
      </c>
      <c r="B56" s="1" t="s">
        <v>55</v>
      </c>
      <c r="C56" s="1">
        <v>6.0</v>
      </c>
      <c r="D56" s="1" t="s">
        <v>4125</v>
      </c>
      <c r="E56" s="1" t="s">
        <v>3604</v>
      </c>
      <c r="F56" s="1" t="s">
        <v>4006</v>
      </c>
      <c r="G56" s="1" t="s">
        <v>4176</v>
      </c>
      <c r="H56" s="1" t="s">
        <v>4176</v>
      </c>
      <c r="I56" s="1" t="s">
        <v>21</v>
      </c>
      <c r="J56" s="1" t="s">
        <v>4177</v>
      </c>
      <c r="K56">
        <v>-68.844661</v>
      </c>
      <c r="L56">
        <v>-32.885196</v>
      </c>
      <c r="O56" s="1" t="s">
        <v>4178</v>
      </c>
      <c r="P56">
        <f t="shared" si="1"/>
        <v>-32.885196</v>
      </c>
      <c r="Q56">
        <f>IFERROR(__xludf.DUMMYFUNCTION("""COMPUTED_VALUE"""),-68.844661)</f>
        <v>-68.844661</v>
      </c>
      <c r="R56" t="str">
        <f>IFERROR(__xludf.DUMMYFUNCTION("""COMPUTED_VALUE"""),"Av, Las Heras 565, Mendoza , Argentina")</f>
        <v>Av, Las Heras 565, Mendoza , Argentina</v>
      </c>
      <c r="S56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57">
      <c r="A57" s="1">
        <v>866.0</v>
      </c>
      <c r="B57" s="1" t="s">
        <v>55</v>
      </c>
      <c r="C57" s="1">
        <v>6.0</v>
      </c>
      <c r="D57" s="1" t="s">
        <v>4186</v>
      </c>
      <c r="E57" s="1" t="s">
        <v>3604</v>
      </c>
      <c r="F57" s="1" t="s">
        <v>4006</v>
      </c>
      <c r="G57" s="1" t="s">
        <v>4187</v>
      </c>
      <c r="H57" s="1" t="s">
        <v>4187</v>
      </c>
      <c r="I57" s="1" t="s">
        <v>21</v>
      </c>
      <c r="J57" s="1" t="s">
        <v>4188</v>
      </c>
      <c r="K57">
        <v>-68.844661</v>
      </c>
      <c r="L57">
        <v>-32.885196</v>
      </c>
      <c r="O57" s="1" t="s">
        <v>4189</v>
      </c>
      <c r="P57">
        <f t="shared" si="1"/>
        <v>-32.885196</v>
      </c>
      <c r="Q57">
        <f>IFERROR(__xludf.DUMMYFUNCTION("""COMPUTED_VALUE"""),-68.844661)</f>
        <v>-68.844661</v>
      </c>
      <c r="R57" t="str">
        <f>IFERROR(__xludf.DUMMYFUNCTION("""COMPUTED_VALUE"""),"Av, Las Heras 595, Mendoza , Argentina")</f>
        <v>Av, Las Heras 595, Mendoza , Argentina</v>
      </c>
      <c r="S57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58">
      <c r="A58" s="1">
        <v>867.0</v>
      </c>
      <c r="B58" s="1" t="s">
        <v>55</v>
      </c>
      <c r="C58" s="1">
        <v>6.0</v>
      </c>
      <c r="D58" s="1" t="s">
        <v>4195</v>
      </c>
      <c r="E58" s="1" t="s">
        <v>3604</v>
      </c>
      <c r="F58" s="1" t="s">
        <v>4006</v>
      </c>
      <c r="G58" s="1" t="s">
        <v>4197</v>
      </c>
      <c r="H58" s="1" t="s">
        <v>4197</v>
      </c>
      <c r="I58" s="1" t="s">
        <v>21</v>
      </c>
      <c r="J58" s="1" t="s">
        <v>4198</v>
      </c>
      <c r="K58">
        <v>-68.844661</v>
      </c>
      <c r="L58">
        <v>-32.885196</v>
      </c>
      <c r="O58" s="1" t="s">
        <v>4200</v>
      </c>
      <c r="P58">
        <f t="shared" si="1"/>
        <v>-32.885196</v>
      </c>
      <c r="Q58">
        <f>IFERROR(__xludf.DUMMYFUNCTION("""COMPUTED_VALUE"""),-68.844661)</f>
        <v>-68.844661</v>
      </c>
      <c r="R58" t="str">
        <f>IFERROR(__xludf.DUMMYFUNCTION("""COMPUTED_VALUE"""),"Av, Las Heras 599, Mendoza , Argentina")</f>
        <v>Av, Las Heras 599, Mendoza , Argentina</v>
      </c>
      <c r="S58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59">
      <c r="A59" s="1">
        <v>868.0</v>
      </c>
      <c r="B59" s="1" t="s">
        <v>55</v>
      </c>
      <c r="C59" s="1">
        <v>7.0</v>
      </c>
      <c r="D59" s="1" t="s">
        <v>4204</v>
      </c>
      <c r="E59" s="1" t="s">
        <v>3604</v>
      </c>
      <c r="F59" s="1" t="s">
        <v>4006</v>
      </c>
      <c r="G59" s="1" t="s">
        <v>4205</v>
      </c>
      <c r="H59" s="1" t="s">
        <v>4205</v>
      </c>
      <c r="I59" s="1" t="s">
        <v>21</v>
      </c>
      <c r="J59" s="1" t="s">
        <v>4206</v>
      </c>
      <c r="K59">
        <v>-68.844661</v>
      </c>
      <c r="L59">
        <v>-32.885196</v>
      </c>
      <c r="O59" s="1" t="s">
        <v>4207</v>
      </c>
      <c r="P59">
        <f t="shared" si="1"/>
        <v>-32.885196</v>
      </c>
      <c r="Q59">
        <f>IFERROR(__xludf.DUMMYFUNCTION("""COMPUTED_VALUE"""),-68.844661)</f>
        <v>-68.844661</v>
      </c>
      <c r="R59" t="str">
        <f>IFERROR(__xludf.DUMMYFUNCTION("""COMPUTED_VALUE"""),"Av, Las Heras 601, Mendoza , Argentina")</f>
        <v>Av, Las Heras 601, Mendoza , Argentina</v>
      </c>
      <c r="S59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60">
      <c r="A60" s="1">
        <v>877.0</v>
      </c>
      <c r="B60" s="1" t="s">
        <v>55</v>
      </c>
      <c r="C60" s="1">
        <v>7.0</v>
      </c>
      <c r="D60" s="1" t="s">
        <v>4216</v>
      </c>
      <c r="E60" s="1" t="s">
        <v>3604</v>
      </c>
      <c r="F60" s="1" t="s">
        <v>4006</v>
      </c>
      <c r="G60" s="1" t="s">
        <v>969</v>
      </c>
      <c r="H60" s="1" t="s">
        <v>4217</v>
      </c>
      <c r="I60" s="1" t="s">
        <v>21</v>
      </c>
      <c r="J60" s="1" t="s">
        <v>971</v>
      </c>
      <c r="K60">
        <v>-68.844661</v>
      </c>
      <c r="L60">
        <v>-32.885196</v>
      </c>
      <c r="O60" s="1" t="s">
        <v>4218</v>
      </c>
      <c r="P60">
        <f t="shared" si="1"/>
        <v>-32.885196</v>
      </c>
      <c r="Q60">
        <f>IFERROR(__xludf.DUMMYFUNCTION("""COMPUTED_VALUE"""),-68.844661)</f>
        <v>-68.844661</v>
      </c>
      <c r="R60" t="str">
        <f>IFERROR(__xludf.DUMMYFUNCTION("""COMPUTED_VALUE"""),"Av, Las Heras 699, Mendoza , Argentina")</f>
        <v>Av, Las Heras 699, Mendoza , Argentina</v>
      </c>
      <c r="S60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61">
      <c r="A61" s="1">
        <v>894.0</v>
      </c>
      <c r="B61" s="1" t="s">
        <v>55</v>
      </c>
      <c r="C61" s="1">
        <v>11.0</v>
      </c>
      <c r="D61" s="1" t="s">
        <v>4226</v>
      </c>
      <c r="E61" s="1" t="s">
        <v>3604</v>
      </c>
      <c r="F61" s="1" t="s">
        <v>4006</v>
      </c>
      <c r="G61" s="1" t="s">
        <v>4227</v>
      </c>
      <c r="H61" s="1" t="s">
        <v>4227</v>
      </c>
      <c r="I61" s="1" t="s">
        <v>21</v>
      </c>
      <c r="J61" s="1" t="s">
        <v>4229</v>
      </c>
      <c r="K61">
        <v>-69.343204</v>
      </c>
      <c r="L61">
        <v>-32.592597</v>
      </c>
      <c r="O61" s="1" t="s">
        <v>4231</v>
      </c>
      <c r="P61">
        <f t="shared" si="1"/>
        <v>-32.592597</v>
      </c>
      <c r="Q61">
        <f>IFERROR(__xludf.DUMMYFUNCTION("""COMPUTED_VALUE"""),-69.343204)</f>
        <v>-69.343204</v>
      </c>
      <c r="R61" t="str">
        <f>IFERROR(__xludf.DUMMYFUNCTION("""COMPUTED_VALUE"""),"Av, Las Heras 554, Mendoza , Argentina")</f>
        <v>Av, Las Heras 554, Mendoza , Argentina</v>
      </c>
      <c r="S61" t="str">
        <f>IFERROR(__xludf.DUMMYFUNCTION("""COMPUTED_VALUE"""),"Avenida Las Heras, Uspallata, Distrito Uspallata, Mendoza, AR")</f>
        <v>Avenida Las Heras, Uspallata, Distrito Uspallata, Mendoza, AR</v>
      </c>
    </row>
    <row r="62">
      <c r="A62" s="1">
        <v>896.0</v>
      </c>
      <c r="B62" s="1" t="s">
        <v>55</v>
      </c>
      <c r="C62" s="1">
        <v>11.0</v>
      </c>
      <c r="D62" s="1" t="s">
        <v>4242</v>
      </c>
      <c r="E62" s="1" t="s">
        <v>3604</v>
      </c>
      <c r="F62" s="1" t="s">
        <v>4006</v>
      </c>
      <c r="G62" s="1" t="s">
        <v>4243</v>
      </c>
      <c r="H62" s="1" t="s">
        <v>4243</v>
      </c>
      <c r="I62" s="1" t="s">
        <v>21</v>
      </c>
      <c r="J62" s="1" t="s">
        <v>4244</v>
      </c>
      <c r="K62">
        <v>-68.845512</v>
      </c>
      <c r="L62">
        <v>-32.885093</v>
      </c>
      <c r="O62" s="1" t="s">
        <v>4245</v>
      </c>
      <c r="P62">
        <f t="shared" si="1"/>
        <v>-32.885093</v>
      </c>
      <c r="Q62">
        <f>IFERROR(__xludf.DUMMYFUNCTION("""COMPUTED_VALUE"""),-68.845512)</f>
        <v>-68.845512</v>
      </c>
      <c r="R62" t="str">
        <f>IFERROR(__xludf.DUMMYFUNCTION("""COMPUTED_VALUE"""),"Av, Las Heras 570, Mendoza , Argentina")</f>
        <v>Av, Las Heras 570, Mendoza , Argentina</v>
      </c>
      <c r="S62" t="str">
        <f>IFERROR(__xludf.DUMMYFUNCTION("""COMPUTED_VALUE"""),"Avenida Las Heras 570, Ciudad de Mendoza, Sección 1ª Parque Central, Mendoza, AR")</f>
        <v>Avenida Las Heras 570, Ciudad de Mendoza, Sección 1ª Parque Central, Mendoza, AR</v>
      </c>
    </row>
    <row r="63">
      <c r="A63" s="1">
        <v>897.0</v>
      </c>
      <c r="B63" s="1" t="s">
        <v>55</v>
      </c>
      <c r="C63" s="1">
        <v>11.0</v>
      </c>
      <c r="D63" s="1" t="s">
        <v>4125</v>
      </c>
      <c r="E63" s="1" t="s">
        <v>3604</v>
      </c>
      <c r="F63" s="1" t="s">
        <v>4006</v>
      </c>
      <c r="G63" s="1" t="s">
        <v>4253</v>
      </c>
      <c r="H63" s="1" t="s">
        <v>4253</v>
      </c>
      <c r="I63" s="1" t="s">
        <v>21</v>
      </c>
      <c r="J63" s="1" t="s">
        <v>4254</v>
      </c>
      <c r="K63">
        <v>-68.845603</v>
      </c>
      <c r="L63">
        <v>-32.885076</v>
      </c>
      <c r="O63" s="1" t="s">
        <v>4255</v>
      </c>
      <c r="P63">
        <f t="shared" si="1"/>
        <v>-32.885076</v>
      </c>
      <c r="Q63">
        <f>IFERROR(__xludf.DUMMYFUNCTION("""COMPUTED_VALUE"""),-68.845603)</f>
        <v>-68.845603</v>
      </c>
      <c r="R63" t="str">
        <f>IFERROR(__xludf.DUMMYFUNCTION("""COMPUTED_VALUE"""),"Av, Las Heras 578, Mendoza , Argentina")</f>
        <v>Av, Las Heras 578, Mendoza , Argentina</v>
      </c>
      <c r="S63" t="str">
        <f>IFERROR(__xludf.DUMMYFUNCTION("""COMPUTED_VALUE"""),"Avenida Las Heras 578, Ciudad de Mendoza, Sección 1ª Parque Central, Mendoza, AR")</f>
        <v>Avenida Las Heras 578, Ciudad de Mendoza, Sección 1ª Parque Central, Mendoza, AR</v>
      </c>
    </row>
    <row r="64">
      <c r="A64" s="1">
        <v>906.0</v>
      </c>
      <c r="B64" s="1" t="s">
        <v>55</v>
      </c>
      <c r="C64" s="1">
        <v>12.0</v>
      </c>
      <c r="D64" s="1" t="s">
        <v>4262</v>
      </c>
      <c r="E64" s="1" t="s">
        <v>3604</v>
      </c>
      <c r="F64" s="1" t="s">
        <v>4006</v>
      </c>
      <c r="G64" s="1" t="s">
        <v>4264</v>
      </c>
      <c r="H64" s="1" t="s">
        <v>4264</v>
      </c>
      <c r="I64" s="1" t="s">
        <v>21</v>
      </c>
      <c r="J64" s="1" t="s">
        <v>4266</v>
      </c>
      <c r="K64">
        <v>-68.843956</v>
      </c>
      <c r="L64">
        <v>-32.885622</v>
      </c>
      <c r="O64" s="1" t="s">
        <v>4267</v>
      </c>
      <c r="P64">
        <f t="shared" si="1"/>
        <v>-32.885622</v>
      </c>
      <c r="Q64">
        <f>IFERROR(__xludf.DUMMYFUNCTION("""COMPUTED_VALUE"""),-68.843956)</f>
        <v>-68.843956</v>
      </c>
      <c r="R64" t="str">
        <f>IFERROR(__xludf.DUMMYFUNCTION("""COMPUTED_VALUE"""),"Av, Las Heras 420, Mendoza , Argentina")</f>
        <v>Av, Las Heras 420, Mendoza , Argentina</v>
      </c>
      <c r="S64" t="str">
        <f>IFERROR(__xludf.DUMMYFUNCTION("""COMPUTED_VALUE"""),"Avenida Las Heras 420, Ciudad de Mendoza, Sección 1ª Parque Central, Mendoza, AR")</f>
        <v>Avenida Las Heras 420, Ciudad de Mendoza, Sección 1ª Parque Central, Mendoza, AR</v>
      </c>
    </row>
    <row r="65">
      <c r="A65" s="1">
        <v>910.0</v>
      </c>
      <c r="B65" s="1" t="s">
        <v>55</v>
      </c>
      <c r="C65" s="1">
        <v>12.0</v>
      </c>
      <c r="D65" s="1" t="s">
        <v>4269</v>
      </c>
      <c r="E65" s="1" t="s">
        <v>3604</v>
      </c>
      <c r="F65" s="1" t="s">
        <v>4006</v>
      </c>
      <c r="G65" s="1" t="s">
        <v>4271</v>
      </c>
      <c r="H65" s="1" t="s">
        <v>4273</v>
      </c>
      <c r="I65" s="1" t="s">
        <v>21</v>
      </c>
      <c r="J65" s="1" t="s">
        <v>4276</v>
      </c>
      <c r="K65">
        <v>-68.844484</v>
      </c>
      <c r="L65">
        <v>-32.885281</v>
      </c>
      <c r="O65" s="1" t="s">
        <v>4278</v>
      </c>
      <c r="P65">
        <f t="shared" si="1"/>
        <v>-32.885281</v>
      </c>
      <c r="Q65">
        <f>IFERROR(__xludf.DUMMYFUNCTION("""COMPUTED_VALUE"""),-68.844484)</f>
        <v>-68.844484</v>
      </c>
      <c r="R65" t="str">
        <f>IFERROR(__xludf.DUMMYFUNCTION("""COMPUTED_VALUE"""),"Av, Las Heras 488, Mendoza , Argentina")</f>
        <v>Av, Las Heras 488, Mendoza , Argentina</v>
      </c>
      <c r="S65" t="str">
        <f>IFERROR(__xludf.DUMMYFUNCTION("""COMPUTED_VALUE"""),"Avenida Las Heras 488, Ciudad de Mendoza, Sección 1ª Parque Central, Mendoza, AR")</f>
        <v>Avenida Las Heras 488, Ciudad de Mendoza, Sección 1ª Parque Central, Mendoza, AR</v>
      </c>
    </row>
    <row r="66">
      <c r="A66" s="1">
        <v>1085.0</v>
      </c>
      <c r="B66" s="1" t="s">
        <v>62</v>
      </c>
      <c r="C66" s="1">
        <v>13.0</v>
      </c>
      <c r="D66" s="1" t="s">
        <v>4283</v>
      </c>
      <c r="E66" s="1" t="s">
        <v>3604</v>
      </c>
      <c r="F66" s="1" t="s">
        <v>4006</v>
      </c>
      <c r="G66" s="1" t="s">
        <v>2356</v>
      </c>
      <c r="H66" s="1" t="s">
        <v>2356</v>
      </c>
      <c r="I66" s="1" t="s">
        <v>21</v>
      </c>
      <c r="J66" s="1" t="s">
        <v>2357</v>
      </c>
      <c r="K66">
        <v>-68.845681</v>
      </c>
      <c r="L66">
        <v>-32.894025</v>
      </c>
      <c r="O66" s="1" t="s">
        <v>4287</v>
      </c>
      <c r="P66">
        <f t="shared" si="1"/>
        <v>-32.894025</v>
      </c>
      <c r="Q66">
        <f>IFERROR(__xludf.DUMMYFUNCTION("""COMPUTED_VALUE"""),-68.845681)</f>
        <v>-68.845681</v>
      </c>
      <c r="R66" t="str">
        <f>IFERROR(__xludf.DUMMYFUNCTION("""COMPUTED_VALUE"""),"Av, Colón 356, Mendoza , Argentina")</f>
        <v>Av, Colón 356, Mendoza , Argentina</v>
      </c>
      <c r="S66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67">
      <c r="A67" s="1">
        <v>1123.0</v>
      </c>
      <c r="B67" s="1" t="s">
        <v>120</v>
      </c>
      <c r="C67" s="1">
        <v>2.0</v>
      </c>
      <c r="D67" s="1" t="s">
        <v>4295</v>
      </c>
      <c r="E67" s="1" t="s">
        <v>3604</v>
      </c>
      <c r="F67" s="1" t="s">
        <v>4006</v>
      </c>
      <c r="G67" s="1" t="s">
        <v>4296</v>
      </c>
      <c r="H67" s="1" t="s">
        <v>4296</v>
      </c>
      <c r="I67" s="1" t="s">
        <v>21</v>
      </c>
      <c r="J67" s="1" t="s">
        <v>4297</v>
      </c>
      <c r="K67">
        <v>-68.844186</v>
      </c>
      <c r="L67">
        <v>-32.888641</v>
      </c>
      <c r="O67" s="1" t="s">
        <v>4298</v>
      </c>
      <c r="P67">
        <f t="shared" si="1"/>
        <v>-32.888641</v>
      </c>
      <c r="Q67">
        <f>IFERROR(__xludf.DUMMYFUNCTION("""COMPUTED_VALUE"""),-68.844186)</f>
        <v>-68.844186</v>
      </c>
      <c r="R67" t="str">
        <f>IFERROR(__xludf.DUMMYFUNCTION("""COMPUTED_VALUE"""),"Espejo 155, Mendoza , Argentina")</f>
        <v>Espejo 155, Mendoza , Argentina</v>
      </c>
      <c r="S67" t="str">
        <f>IFERROR(__xludf.DUMMYFUNCTION("""COMPUTED_VALUE"""),"Espejo, Ciudad de Mendoza, Sección 2ª Barrio Cívico, Mendoza, AR")</f>
        <v>Espejo, Ciudad de Mendoza, Sección 2ª Barrio Cívico, Mendoza, AR</v>
      </c>
    </row>
    <row r="68">
      <c r="A68" s="1">
        <v>1126.0</v>
      </c>
      <c r="B68" s="1" t="s">
        <v>120</v>
      </c>
      <c r="C68" s="1">
        <v>2.0</v>
      </c>
      <c r="D68" s="1" t="s">
        <v>2860</v>
      </c>
      <c r="E68" s="1" t="s">
        <v>3604</v>
      </c>
      <c r="F68" s="1" t="s">
        <v>4006</v>
      </c>
      <c r="G68" s="1" t="s">
        <v>2862</v>
      </c>
      <c r="H68" s="1" t="s">
        <v>2862</v>
      </c>
      <c r="I68" s="1" t="s">
        <v>21</v>
      </c>
      <c r="J68" s="1" t="s">
        <v>4307</v>
      </c>
      <c r="K68">
        <v>-68.844186</v>
      </c>
      <c r="L68">
        <v>-32.888641</v>
      </c>
      <c r="O68" s="1" t="s">
        <v>4308</v>
      </c>
      <c r="P68">
        <f t="shared" si="1"/>
        <v>-32.888641</v>
      </c>
      <c r="Q68">
        <f>IFERROR(__xludf.DUMMYFUNCTION("""COMPUTED_VALUE"""),-68.844186)</f>
        <v>-68.844186</v>
      </c>
      <c r="R68" t="str">
        <f>IFERROR(__xludf.DUMMYFUNCTION("""COMPUTED_VALUE"""),"Espejo 179, Mendoza , Argentina")</f>
        <v>Espejo 179, Mendoza , Argentina</v>
      </c>
      <c r="S68" t="str">
        <f>IFERROR(__xludf.DUMMYFUNCTION("""COMPUTED_VALUE"""),"Espejo, Ciudad de Mendoza, Sección 2ª Barrio Cívico, Mendoza, AR")</f>
        <v>Espejo, Ciudad de Mendoza, Sección 2ª Barrio Cívico, Mendoza, AR</v>
      </c>
    </row>
    <row r="69">
      <c r="A69" s="1">
        <v>1130.0</v>
      </c>
      <c r="B69" s="1" t="s">
        <v>120</v>
      </c>
      <c r="C69" s="1">
        <v>2.0</v>
      </c>
      <c r="D69" s="1" t="s">
        <v>2102</v>
      </c>
      <c r="E69" s="1" t="s">
        <v>3604</v>
      </c>
      <c r="F69" s="1" t="s">
        <v>4006</v>
      </c>
      <c r="G69" s="1" t="s">
        <v>2104</v>
      </c>
      <c r="H69" s="1" t="s">
        <v>2104</v>
      </c>
      <c r="I69" s="1" t="s">
        <v>21</v>
      </c>
      <c r="J69" s="1" t="s">
        <v>4316</v>
      </c>
      <c r="K69">
        <v>-68.84806</v>
      </c>
      <c r="L69">
        <v>-32.887937</v>
      </c>
      <c r="O69" s="1" t="s">
        <v>4317</v>
      </c>
      <c r="P69">
        <f t="shared" si="1"/>
        <v>-32.887937</v>
      </c>
      <c r="Q69">
        <f>IFERROR(__xludf.DUMMYFUNCTION("""COMPUTED_VALUE"""),-68.84806)</f>
        <v>-68.84806</v>
      </c>
      <c r="R69" t="str">
        <f>IFERROR(__xludf.DUMMYFUNCTION("""COMPUTED_VALUE"""),"Espejo 189, Mendoza , Argentina")</f>
        <v>Espejo 189, Mendoza , Argentina</v>
      </c>
      <c r="S69" t="str">
        <f>IFERROR(__xludf.DUMMYFUNCTION("""COMPUTED_VALUE"""),"Espejo, Ciudad de Mendoza, Sección 2ª Barrio Cívico, Mendoza, AR")</f>
        <v>Espejo, Ciudad de Mendoza, Sección 2ª Barrio Cívico, Mendoza, AR</v>
      </c>
    </row>
    <row r="70">
      <c r="A70" s="1">
        <v>1139.0</v>
      </c>
      <c r="B70" s="1" t="s">
        <v>120</v>
      </c>
      <c r="C70" s="1">
        <v>3.0</v>
      </c>
      <c r="D70" s="1" t="s">
        <v>4326</v>
      </c>
      <c r="E70" s="1" t="s">
        <v>3604</v>
      </c>
      <c r="F70" s="1" t="s">
        <v>4006</v>
      </c>
      <c r="G70" s="1" t="s">
        <v>4327</v>
      </c>
      <c r="H70" s="1" t="s">
        <v>4327</v>
      </c>
      <c r="I70" s="1" t="s">
        <v>21</v>
      </c>
      <c r="J70" s="1" t="s">
        <v>4328</v>
      </c>
      <c r="K70">
        <v>-68.844186</v>
      </c>
      <c r="L70">
        <v>-32.888641</v>
      </c>
      <c r="O70" s="1" t="s">
        <v>4329</v>
      </c>
      <c r="P70">
        <f t="shared" si="1"/>
        <v>-32.888641</v>
      </c>
      <c r="Q70">
        <f>IFERROR(__xludf.DUMMYFUNCTION("""COMPUTED_VALUE"""),-68.844186)</f>
        <v>-68.844186</v>
      </c>
      <c r="R70" t="str">
        <f>IFERROR(__xludf.DUMMYFUNCTION("""COMPUTED_VALUE"""),"Espejo 295, Mendoza , Argentina")</f>
        <v>Espejo 295, Mendoza , Argentina</v>
      </c>
      <c r="S70" t="str">
        <f>IFERROR(__xludf.DUMMYFUNCTION("""COMPUTED_VALUE"""),"Espejo, Ciudad de Mendoza, Sección 2ª Barrio Cívico, Mendoza, AR")</f>
        <v>Espejo, Ciudad de Mendoza, Sección 2ª Barrio Cívico, Mendoza, AR</v>
      </c>
    </row>
    <row r="71">
      <c r="A71" s="1">
        <v>1147.0</v>
      </c>
      <c r="B71" s="1" t="s">
        <v>120</v>
      </c>
      <c r="C71" s="1">
        <v>4.0</v>
      </c>
      <c r="D71" s="1" t="s">
        <v>4338</v>
      </c>
      <c r="E71" s="1" t="s">
        <v>3604</v>
      </c>
      <c r="F71" s="1" t="s">
        <v>4006</v>
      </c>
      <c r="G71" s="1" t="s">
        <v>4339</v>
      </c>
      <c r="H71" s="1" t="s">
        <v>4339</v>
      </c>
      <c r="I71" s="1" t="s">
        <v>21</v>
      </c>
      <c r="J71" s="1" t="s">
        <v>4340</v>
      </c>
      <c r="K71">
        <v>-68.842059</v>
      </c>
      <c r="L71">
        <v>-32.889079</v>
      </c>
      <c r="O71" s="1" t="s">
        <v>4341</v>
      </c>
      <c r="P71">
        <f t="shared" si="1"/>
        <v>-32.889079</v>
      </c>
      <c r="Q71">
        <f>IFERROR(__xludf.DUMMYFUNCTION("""COMPUTED_VALUE"""),-68.842059)</f>
        <v>-68.842059</v>
      </c>
      <c r="R71" t="str">
        <f>IFERROR(__xludf.DUMMYFUNCTION("""COMPUTED_VALUE"""),"Espejo 228, Mendoza , Argentina")</f>
        <v>Espejo 228, Mendoza , Argentina</v>
      </c>
      <c r="S71" t="str">
        <f>IFERROR(__xludf.DUMMYFUNCTION("""COMPUTED_VALUE"""),"Espejo 228, Ciudad de Mendoza, Sección 2ª Barrio Cívico, Mendoza, AR")</f>
        <v>Espejo 228, Ciudad de Mendoza, Sección 2ª Barrio Cívico, Mendoza, AR</v>
      </c>
    </row>
    <row r="72">
      <c r="A72" s="1">
        <v>1150.0</v>
      </c>
      <c r="B72" s="1" t="s">
        <v>120</v>
      </c>
      <c r="C72" s="1">
        <v>4.0</v>
      </c>
      <c r="D72" s="1" t="s">
        <v>4348</v>
      </c>
      <c r="E72" s="1" t="s">
        <v>3604</v>
      </c>
      <c r="F72" s="1" t="s">
        <v>4006</v>
      </c>
      <c r="G72" s="1" t="s">
        <v>4350</v>
      </c>
      <c r="H72" s="1" t="s">
        <v>4350</v>
      </c>
      <c r="I72" s="1" t="s">
        <v>21</v>
      </c>
      <c r="J72" s="1" t="s">
        <v>4351</v>
      </c>
      <c r="K72">
        <v>-68.841952</v>
      </c>
      <c r="L72">
        <v>-32.889099</v>
      </c>
      <c r="O72" s="1" t="s">
        <v>4352</v>
      </c>
      <c r="P72">
        <f t="shared" si="1"/>
        <v>-32.889099</v>
      </c>
      <c r="Q72">
        <f>IFERROR(__xludf.DUMMYFUNCTION("""COMPUTED_VALUE"""),-68.841952)</f>
        <v>-68.841952</v>
      </c>
      <c r="R72" t="str">
        <f>IFERROR(__xludf.DUMMYFUNCTION("""COMPUTED_VALUE"""),"Espejo 218, Mendoza , Argentina")</f>
        <v>Espejo 218, Mendoza , Argentina</v>
      </c>
      <c r="S72" t="str">
        <f>IFERROR(__xludf.DUMMYFUNCTION("""COMPUTED_VALUE"""),"Espejo 218, Ciudad de Mendoza, Sección 2ª Barrio Cívico, Mendoza, AR")</f>
        <v>Espejo 218, Ciudad de Mendoza, Sección 2ª Barrio Cívico, Mendoza, AR</v>
      </c>
    </row>
    <row r="73">
      <c r="A73" s="1">
        <v>1285.0</v>
      </c>
      <c r="B73" s="1" t="s">
        <v>248</v>
      </c>
      <c r="C73" s="1">
        <v>7.0</v>
      </c>
      <c r="D73" s="1" t="s">
        <v>4361</v>
      </c>
      <c r="E73" s="1" t="s">
        <v>3604</v>
      </c>
      <c r="F73" s="1" t="s">
        <v>4006</v>
      </c>
      <c r="G73" s="1" t="s">
        <v>4362</v>
      </c>
      <c r="H73" s="1" t="s">
        <v>4362</v>
      </c>
      <c r="I73" s="1" t="s">
        <v>21</v>
      </c>
      <c r="J73" s="1" t="s">
        <v>4363</v>
      </c>
      <c r="K73">
        <v>-67.683115</v>
      </c>
      <c r="L73">
        <v>-34.974904</v>
      </c>
      <c r="O73" s="1" t="s">
        <v>4364</v>
      </c>
      <c r="P73">
        <f t="shared" si="1"/>
        <v>-34.974904</v>
      </c>
      <c r="Q73">
        <f>IFERROR(__xludf.DUMMYFUNCTION("""COMPUTED_VALUE"""),-67.683115)</f>
        <v>-67.683115</v>
      </c>
      <c r="R73" t="str">
        <f>IFERROR(__xludf.DUMMYFUNCTION("""COMPUTED_VALUE"""),"España 1016, Mendoza , Argentina")</f>
        <v>España 1016, Mendoza , Argentina</v>
      </c>
      <c r="S73" t="str">
        <f>IFERROR(__xludf.DUMMYFUNCTION("""COMPUTED_VALUE"""),"España, General Alvear, Distrito Ciudad de General Alvear, Mendoza, AR")</f>
        <v>España, General Alvear, Distrito Ciudad de General Alvear, Mendoza, AR</v>
      </c>
    </row>
    <row r="74">
      <c r="A74" s="1">
        <v>1282.0</v>
      </c>
      <c r="B74" s="1" t="s">
        <v>248</v>
      </c>
      <c r="C74" s="1">
        <v>7.0</v>
      </c>
      <c r="D74" s="1" t="s">
        <v>4373</v>
      </c>
      <c r="E74" s="1" t="s">
        <v>3604</v>
      </c>
      <c r="F74" s="1" t="s">
        <v>4006</v>
      </c>
      <c r="G74" s="1" t="s">
        <v>4376</v>
      </c>
      <c r="H74" s="1" t="s">
        <v>2255</v>
      </c>
      <c r="I74" s="1" t="s">
        <v>21</v>
      </c>
      <c r="J74" s="1" t="s">
        <v>4378</v>
      </c>
      <c r="K74">
        <v>-67.683115</v>
      </c>
      <c r="L74">
        <v>-34.974904</v>
      </c>
      <c r="O74" s="1" t="s">
        <v>4380</v>
      </c>
      <c r="P74">
        <f t="shared" si="1"/>
        <v>-34.974904</v>
      </c>
      <c r="Q74">
        <f>IFERROR(__xludf.DUMMYFUNCTION("""COMPUTED_VALUE"""),-67.683115)</f>
        <v>-67.683115</v>
      </c>
      <c r="R74" t="str">
        <f>IFERROR(__xludf.DUMMYFUNCTION("""COMPUTED_VALUE"""),"España 1034, Mendoza , Argentina")</f>
        <v>España 1034, Mendoza , Argentina</v>
      </c>
      <c r="S74" t="str">
        <f>IFERROR(__xludf.DUMMYFUNCTION("""COMPUTED_VALUE"""),"España, General Alvear, Distrito Ciudad de General Alvear, Mendoza, AR")</f>
        <v>España, General Alvear, Distrito Ciudad de General Alvear, Mendoza, AR</v>
      </c>
    </row>
    <row r="75">
      <c r="A75" s="1">
        <v>1298.0</v>
      </c>
      <c r="B75" s="1" t="s">
        <v>248</v>
      </c>
      <c r="C75" s="1">
        <v>9.0</v>
      </c>
      <c r="D75" s="1" t="s">
        <v>4389</v>
      </c>
      <c r="E75" s="1" t="s">
        <v>3604</v>
      </c>
      <c r="F75" s="1" t="s">
        <v>4006</v>
      </c>
      <c r="G75" s="1" t="s">
        <v>4390</v>
      </c>
      <c r="H75" s="1" t="s">
        <v>4390</v>
      </c>
      <c r="I75" s="1" t="s">
        <v>21</v>
      </c>
      <c r="J75" s="1" t="s">
        <v>4391</v>
      </c>
      <c r="K75">
        <v>-67.683115</v>
      </c>
      <c r="L75">
        <v>-34.974904</v>
      </c>
      <c r="O75" s="1" t="s">
        <v>4392</v>
      </c>
      <c r="P75">
        <f t="shared" si="1"/>
        <v>-34.974904</v>
      </c>
      <c r="Q75">
        <f>IFERROR(__xludf.DUMMYFUNCTION("""COMPUTED_VALUE"""),-67.683115)</f>
        <v>-67.683115</v>
      </c>
      <c r="R75" t="str">
        <f>IFERROR(__xludf.DUMMYFUNCTION("""COMPUTED_VALUE"""),"España 921, Mendoza , Argentina")</f>
        <v>España 921, Mendoza , Argentina</v>
      </c>
      <c r="S75" t="str">
        <f>IFERROR(__xludf.DUMMYFUNCTION("""COMPUTED_VALUE"""),"España, General Alvear, Distrito Ciudad de General Alvear, Mendoza, AR")</f>
        <v>España, General Alvear, Distrito Ciudad de General Alvear, Mendoza, AR</v>
      </c>
    </row>
    <row r="76">
      <c r="A76" s="1">
        <v>1320.0</v>
      </c>
      <c r="B76" s="1" t="s">
        <v>248</v>
      </c>
      <c r="C76" s="1">
        <v>12.0</v>
      </c>
      <c r="D76" s="1" t="s">
        <v>4402</v>
      </c>
      <c r="E76" s="1" t="s">
        <v>3604</v>
      </c>
      <c r="F76" s="1" t="s">
        <v>4006</v>
      </c>
      <c r="G76" s="1" t="s">
        <v>4403</v>
      </c>
      <c r="H76" s="1" t="s">
        <v>4403</v>
      </c>
      <c r="I76" s="1" t="s">
        <v>21</v>
      </c>
      <c r="J76" s="1" t="s">
        <v>4404</v>
      </c>
      <c r="K76">
        <v>-67.683115</v>
      </c>
      <c r="L76">
        <v>-34.974904</v>
      </c>
      <c r="O76" s="1" t="s">
        <v>4405</v>
      </c>
      <c r="P76">
        <f t="shared" si="1"/>
        <v>-34.974904</v>
      </c>
      <c r="Q76">
        <f>IFERROR(__xludf.DUMMYFUNCTION("""COMPUTED_VALUE"""),-67.683115)</f>
        <v>-67.683115</v>
      </c>
      <c r="R76" t="str">
        <f>IFERROR(__xludf.DUMMYFUNCTION("""COMPUTED_VALUE"""),"España 1205, Mendoza , Argentina")</f>
        <v>España 1205, Mendoza , Argentina</v>
      </c>
      <c r="S76" t="str">
        <f>IFERROR(__xludf.DUMMYFUNCTION("""COMPUTED_VALUE"""),"España, General Alvear, Distrito Ciudad de General Alvear, Mendoza, AR")</f>
        <v>España, General Alvear, Distrito Ciudad de General Alvear, Mendoza, AR</v>
      </c>
    </row>
    <row r="77">
      <c r="A77" s="1">
        <v>1375.0</v>
      </c>
      <c r="D77" s="1" t="s">
        <v>4411</v>
      </c>
      <c r="E77" s="1" t="s">
        <v>3604</v>
      </c>
      <c r="F77" s="1" t="s">
        <v>4006</v>
      </c>
      <c r="G77" s="1" t="s">
        <v>4413</v>
      </c>
      <c r="I77" s="1" t="s">
        <v>21</v>
      </c>
      <c r="J77" s="1" t="s">
        <v>4415</v>
      </c>
      <c r="K77">
        <v>-68.471069</v>
      </c>
      <c r="L77">
        <v>-33.080534</v>
      </c>
      <c r="O77" s="1" t="s">
        <v>4416</v>
      </c>
      <c r="P77">
        <f t="shared" si="1"/>
        <v>-33.080534</v>
      </c>
      <c r="Q77">
        <f>IFERROR(__xludf.DUMMYFUNCTION("""COMPUTED_VALUE"""),-68.471069)</f>
        <v>-68.471069</v>
      </c>
      <c r="R77" t="str">
        <f>IFERROR(__xludf.DUMMYFUNCTION("""COMPUTED_VALUE"""),"San Martín 1067 , Mendoza , Argentina")</f>
        <v>San Martín 1067 , Mendoza , Argentina</v>
      </c>
      <c r="S77" t="str">
        <f>IFERROR(__xludf.DUMMYFUNCTION("""COMPUTED_VALUE"""),"Distrito Ciudad de San Martín, Mendoza, AR")</f>
        <v>Distrito Ciudad de San Martín, Mendoza, AR</v>
      </c>
    </row>
    <row r="78">
      <c r="A78" s="1">
        <v>1587.0</v>
      </c>
      <c r="D78" s="1" t="s">
        <v>4421</v>
      </c>
      <c r="E78" s="1" t="s">
        <v>3604</v>
      </c>
      <c r="F78" s="1" t="s">
        <v>4006</v>
      </c>
      <c r="G78" s="1" t="s">
        <v>4422</v>
      </c>
      <c r="I78" s="1" t="s">
        <v>21</v>
      </c>
      <c r="J78" s="1" t="s">
        <v>4423</v>
      </c>
      <c r="K78">
        <v>-68.471069</v>
      </c>
      <c r="L78">
        <v>-33.080534</v>
      </c>
      <c r="O78" s="1" t="s">
        <v>4424</v>
      </c>
      <c r="P78">
        <f t="shared" si="1"/>
        <v>-33.080534</v>
      </c>
      <c r="Q78">
        <f>IFERROR(__xludf.DUMMYFUNCTION("""COMPUTED_VALUE"""),-68.471069)</f>
        <v>-68.471069</v>
      </c>
      <c r="R78" t="str">
        <f>IFERROR(__xludf.DUMMYFUNCTION("""COMPUTED_VALUE"""),"San Martín 1136 , Mendoza , Argentina")</f>
        <v>San Martín 1136 , Mendoza , Argentina</v>
      </c>
      <c r="S78" t="str">
        <f>IFERROR(__xludf.DUMMYFUNCTION("""COMPUTED_VALUE"""),"Distrito Ciudad de San Martín, Mendoza, AR")</f>
        <v>Distrito Ciudad de San Martín, Mendoza, AR</v>
      </c>
    </row>
    <row r="79">
      <c r="A79" s="1">
        <v>1604.0</v>
      </c>
      <c r="D79" s="1" t="s">
        <v>4432</v>
      </c>
      <c r="E79" s="1" t="s">
        <v>3604</v>
      </c>
      <c r="F79" s="1" t="s">
        <v>4006</v>
      </c>
      <c r="G79" s="1" t="s">
        <v>4433</v>
      </c>
      <c r="I79" s="1" t="s">
        <v>21</v>
      </c>
      <c r="J79" s="1" t="s">
        <v>4434</v>
      </c>
      <c r="K79">
        <v>-100.445882</v>
      </c>
      <c r="L79">
        <v>39.78373</v>
      </c>
      <c r="O79" s="1" t="s">
        <v>4435</v>
      </c>
      <c r="P79">
        <f t="shared" si="1"/>
        <v>39.78373</v>
      </c>
      <c r="Q79">
        <f>IFERROR(__xludf.DUMMYFUNCTION("""COMPUTED_VALUE"""),-100.445882)</f>
        <v>-100.445882</v>
      </c>
      <c r="R79" t="str">
        <f>IFERROR(__xludf.DUMMYFUNCTION("""COMPUTED_VALUE"""),"San Martín 1136 local 26, Mendoza , Argentina")</f>
        <v>San Martín 1136 local 26, Mendoza , Argentina</v>
      </c>
      <c r="S79" t="str">
        <f>IFERROR(__xludf.DUMMYFUNCTION("""COMPUTED_VALUE"""),"US")</f>
        <v>US</v>
      </c>
    </row>
    <row r="80">
      <c r="A80" s="1">
        <v>1617.0</v>
      </c>
      <c r="D80" s="1" t="s">
        <v>4444</v>
      </c>
      <c r="E80" s="1" t="s">
        <v>3604</v>
      </c>
      <c r="F80" s="1" t="s">
        <v>4006</v>
      </c>
      <c r="G80" s="1" t="s">
        <v>4445</v>
      </c>
      <c r="H80" s="1" t="s">
        <v>4446</v>
      </c>
      <c r="I80" s="1" t="s">
        <v>21</v>
      </c>
      <c r="J80" s="1" t="s">
        <v>4447</v>
      </c>
      <c r="K80">
        <v>-100.445882</v>
      </c>
      <c r="L80">
        <v>39.78373</v>
      </c>
      <c r="O80" s="1" t="s">
        <v>4448</v>
      </c>
      <c r="P80">
        <f t="shared" si="1"/>
        <v>39.78373</v>
      </c>
      <c r="Q80">
        <f>IFERROR(__xludf.DUMMYFUNCTION("""COMPUTED_VALUE"""),-100.445882)</f>
        <v>-100.445882</v>
      </c>
      <c r="R80" t="str">
        <f>IFERROR(__xludf.DUMMYFUNCTION("""COMPUTED_VALUE"""),"San Martín 1027 local 11, Mendoza , Argentina")</f>
        <v>San Martín 1027 local 11, Mendoza , Argentina</v>
      </c>
      <c r="S80" t="str">
        <f>IFERROR(__xludf.DUMMYFUNCTION("""COMPUTED_VALUE"""),"US")</f>
        <v>US</v>
      </c>
    </row>
    <row r="81">
      <c r="A81" s="1">
        <v>1625.0</v>
      </c>
      <c r="D81" s="1" t="s">
        <v>4455</v>
      </c>
      <c r="E81" s="1" t="s">
        <v>3604</v>
      </c>
      <c r="F81" s="1" t="s">
        <v>4006</v>
      </c>
      <c r="G81" s="1" t="s">
        <v>4458</v>
      </c>
      <c r="I81" s="1" t="s">
        <v>21</v>
      </c>
      <c r="J81" s="1" t="s">
        <v>4460</v>
      </c>
      <c r="K81">
        <v>-100.445882</v>
      </c>
      <c r="L81">
        <v>39.78373</v>
      </c>
      <c r="O81" s="1" t="s">
        <v>4463</v>
      </c>
      <c r="P81">
        <f t="shared" si="1"/>
        <v>39.78373</v>
      </c>
      <c r="Q81">
        <f>IFERROR(__xludf.DUMMYFUNCTION("""COMPUTED_VALUE"""),-100.445882)</f>
        <v>-100.445882</v>
      </c>
      <c r="R81" t="str">
        <f>IFERROR(__xludf.DUMMYFUNCTION("""COMPUTED_VALUE"""),"San Martín 1027 local 36, Mendoza , Argentina")</f>
        <v>San Martín 1027 local 36, Mendoza , Argentina</v>
      </c>
      <c r="S81" t="str">
        <f>IFERROR(__xludf.DUMMYFUNCTION("""COMPUTED_VALUE"""),"US")</f>
        <v>US</v>
      </c>
    </row>
    <row r="82">
      <c r="A82" s="1">
        <v>1643.0</v>
      </c>
      <c r="D82" s="1" t="s">
        <v>4466</v>
      </c>
      <c r="E82" s="1" t="s">
        <v>3604</v>
      </c>
      <c r="F82" s="1" t="s">
        <v>4006</v>
      </c>
      <c r="G82" s="1" t="s">
        <v>4469</v>
      </c>
      <c r="I82" s="1" t="s">
        <v>21</v>
      </c>
      <c r="J82" s="1" t="s">
        <v>4471</v>
      </c>
      <c r="K82">
        <v>-100.445882</v>
      </c>
      <c r="L82">
        <v>39.78373</v>
      </c>
      <c r="O82" s="1" t="s">
        <v>4472</v>
      </c>
      <c r="P82">
        <f t="shared" si="1"/>
        <v>39.78373</v>
      </c>
      <c r="Q82">
        <f>IFERROR(__xludf.DUMMYFUNCTION("""COMPUTED_VALUE"""),-100.445882)</f>
        <v>-100.445882</v>
      </c>
      <c r="R82" t="str">
        <f>IFERROR(__xludf.DUMMYFUNCTION("""COMPUTED_VALUE"""),"Sarmiento 133 local 7, Mendoza , Argentina")</f>
        <v>Sarmiento 133 local 7, Mendoza , Argentina</v>
      </c>
      <c r="S82" t="str">
        <f>IFERROR(__xludf.DUMMYFUNCTION("""COMPUTED_VALUE"""),"US")</f>
        <v>US</v>
      </c>
    </row>
    <row r="83">
      <c r="A83" s="1">
        <v>1644.0</v>
      </c>
      <c r="D83" s="1" t="s">
        <v>4477</v>
      </c>
      <c r="E83" s="1" t="s">
        <v>3604</v>
      </c>
      <c r="F83" s="1" t="s">
        <v>4006</v>
      </c>
      <c r="G83" s="1" t="s">
        <v>4479</v>
      </c>
      <c r="I83" s="1" t="s">
        <v>21</v>
      </c>
      <c r="J83" s="1" t="s">
        <v>4481</v>
      </c>
      <c r="K83">
        <v>-67.69702</v>
      </c>
      <c r="L83">
        <v>-34.983771</v>
      </c>
      <c r="O83" s="1" t="s">
        <v>4482</v>
      </c>
      <c r="P83">
        <f t="shared" si="1"/>
        <v>-34.983771</v>
      </c>
      <c r="Q83">
        <f>IFERROR(__xludf.DUMMYFUNCTION("""COMPUTED_VALUE"""),-67.69702)</f>
        <v>-67.69702</v>
      </c>
      <c r="R83" t="str">
        <f>IFERROR(__xludf.DUMMYFUNCTION("""COMPUTED_VALUE"""),"Sarmiento 133, Mendoza , Argentina")</f>
        <v>Sarmiento 133, Mendoza , Argentina</v>
      </c>
      <c r="S83" t="str">
        <f>IFERROR(__xludf.DUMMYFUNCTION("""COMPUTED_VALUE"""),"Sarmiento, General Alvear, Distrito Ciudad de General Alvear, Mendoza, AR")</f>
        <v>Sarmiento, General Alvear, Distrito Ciudad de General Alvear, Mendoza, AR</v>
      </c>
    </row>
    <row r="84">
      <c r="A84" s="1">
        <v>1648.0</v>
      </c>
      <c r="D84" s="1" t="s">
        <v>4483</v>
      </c>
      <c r="E84" s="1" t="s">
        <v>3604</v>
      </c>
      <c r="F84" s="1" t="s">
        <v>4006</v>
      </c>
      <c r="G84" s="1" t="s">
        <v>4484</v>
      </c>
      <c r="I84" s="1" t="s">
        <v>21</v>
      </c>
      <c r="J84" s="1" t="s">
        <v>4486</v>
      </c>
      <c r="K84">
        <v>-67.69702</v>
      </c>
      <c r="L84">
        <v>-34.983771</v>
      </c>
      <c r="O84" s="1" t="s">
        <v>4489</v>
      </c>
      <c r="P84">
        <f t="shared" si="1"/>
        <v>-34.983771</v>
      </c>
      <c r="Q84">
        <f>IFERROR(__xludf.DUMMYFUNCTION("""COMPUTED_VALUE"""),-67.69702)</f>
        <v>-67.69702</v>
      </c>
      <c r="R84" t="str">
        <f>IFERROR(__xludf.DUMMYFUNCTION("""COMPUTED_VALUE"""),"Sarmiento 133 , Mendoza , Argentina")</f>
        <v>Sarmiento 133 , Mendoza , Argentina</v>
      </c>
      <c r="S84" t="str">
        <f>IFERROR(__xludf.DUMMYFUNCTION("""COMPUTED_VALUE"""),"Sarmiento, General Alvear, Distrito Ciudad de General Alvear, Mendoza, AR")</f>
        <v>Sarmiento, General Alvear, Distrito Ciudad de General Alvear, Mendoza, AR</v>
      </c>
    </row>
    <row r="85">
      <c r="A85" s="1">
        <v>1651.0</v>
      </c>
      <c r="D85" s="1" t="s">
        <v>4498</v>
      </c>
      <c r="E85" s="1" t="s">
        <v>3604</v>
      </c>
      <c r="F85" s="1" t="s">
        <v>4006</v>
      </c>
      <c r="G85" s="1" t="s">
        <v>4499</v>
      </c>
      <c r="I85" s="1" t="s">
        <v>21</v>
      </c>
      <c r="J85" s="1" t="s">
        <v>4500</v>
      </c>
      <c r="K85">
        <v>-67.69702</v>
      </c>
      <c r="L85">
        <v>-34.983771</v>
      </c>
      <c r="O85" s="1" t="s">
        <v>4489</v>
      </c>
      <c r="P85">
        <f t="shared" si="1"/>
        <v>-34.983771</v>
      </c>
      <c r="Q85">
        <f>IFERROR(__xludf.DUMMYFUNCTION("""COMPUTED_VALUE"""),-67.69702)</f>
        <v>-67.69702</v>
      </c>
      <c r="R85" t="str">
        <f>IFERROR(__xludf.DUMMYFUNCTION("""COMPUTED_VALUE"""),"Sarmiento 133 , Mendoza , Argentina")</f>
        <v>Sarmiento 133 , Mendoza , Argentina</v>
      </c>
      <c r="S85" t="str">
        <f>IFERROR(__xludf.DUMMYFUNCTION("""COMPUTED_VALUE"""),"Sarmiento, General Alvear, Distrito Ciudad de General Alvear, Mendoza, AR")</f>
        <v>Sarmiento, General Alvear, Distrito Ciudad de General Alvear, Mendoza, AR</v>
      </c>
    </row>
    <row r="86">
      <c r="A86" s="1">
        <v>1652.0</v>
      </c>
      <c r="D86" s="1" t="s">
        <v>4504</v>
      </c>
      <c r="E86" s="1" t="s">
        <v>3604</v>
      </c>
      <c r="F86" s="1" t="s">
        <v>4006</v>
      </c>
      <c r="G86" s="1" t="s">
        <v>4505</v>
      </c>
      <c r="I86" s="1" t="s">
        <v>21</v>
      </c>
      <c r="J86" s="1" t="s">
        <v>4506</v>
      </c>
      <c r="K86">
        <v>-67.69702</v>
      </c>
      <c r="L86">
        <v>-34.983771</v>
      </c>
      <c r="O86" s="1" t="s">
        <v>4489</v>
      </c>
      <c r="P86">
        <f t="shared" si="1"/>
        <v>-34.983771</v>
      </c>
      <c r="Q86">
        <f>IFERROR(__xludf.DUMMYFUNCTION("""COMPUTED_VALUE"""),-67.69702)</f>
        <v>-67.69702</v>
      </c>
      <c r="R86" t="str">
        <f>IFERROR(__xludf.DUMMYFUNCTION("""COMPUTED_VALUE"""),"Sarmiento 133 , Mendoza , Argentina")</f>
        <v>Sarmiento 133 , Mendoza , Argentina</v>
      </c>
      <c r="S86" t="str">
        <f>IFERROR(__xludf.DUMMYFUNCTION("""COMPUTED_VALUE"""),"Sarmiento, General Alvear, Distrito Ciudad de General Alvear, Mendoza, AR")</f>
        <v>Sarmiento, General Alvear, Distrito Ciudad de General Alvear, Mendoza, AR</v>
      </c>
    </row>
    <row r="87">
      <c r="A87" s="1">
        <v>1654.0</v>
      </c>
      <c r="D87" s="1" t="s">
        <v>4513</v>
      </c>
      <c r="E87" s="1" t="s">
        <v>3604</v>
      </c>
      <c r="F87" s="1" t="s">
        <v>4006</v>
      </c>
      <c r="G87" s="1" t="s">
        <v>4514</v>
      </c>
      <c r="I87" s="1" t="s">
        <v>21</v>
      </c>
      <c r="J87" s="1" t="s">
        <v>4516</v>
      </c>
      <c r="K87">
        <v>-67.69702</v>
      </c>
      <c r="L87">
        <v>-34.983771</v>
      </c>
      <c r="O87" s="1" t="s">
        <v>4489</v>
      </c>
      <c r="P87">
        <f t="shared" si="1"/>
        <v>-34.983771</v>
      </c>
      <c r="Q87">
        <f>IFERROR(__xludf.DUMMYFUNCTION("""COMPUTED_VALUE"""),-67.69702)</f>
        <v>-67.69702</v>
      </c>
      <c r="R87" t="str">
        <f>IFERROR(__xludf.DUMMYFUNCTION("""COMPUTED_VALUE"""),"Sarmiento 133 , Mendoza , Argentina")</f>
        <v>Sarmiento 133 , Mendoza , Argentina</v>
      </c>
      <c r="S87" t="str">
        <f>IFERROR(__xludf.DUMMYFUNCTION("""COMPUTED_VALUE"""),"Sarmiento, General Alvear, Distrito Ciudad de General Alvear, Mendoza, AR")</f>
        <v>Sarmiento, General Alvear, Distrito Ciudad de General Alvear, Mendoza, AR</v>
      </c>
    </row>
    <row r="88">
      <c r="A88" s="1">
        <v>1658.0</v>
      </c>
      <c r="D88" s="1" t="s">
        <v>4519</v>
      </c>
      <c r="E88" s="1" t="s">
        <v>3604</v>
      </c>
      <c r="F88" s="1" t="s">
        <v>4006</v>
      </c>
      <c r="G88" s="1" t="s">
        <v>4521</v>
      </c>
      <c r="I88" s="1" t="s">
        <v>21</v>
      </c>
      <c r="J88" s="1" t="s">
        <v>4523</v>
      </c>
      <c r="K88">
        <v>-68.843815</v>
      </c>
      <c r="L88">
        <v>-32.885401</v>
      </c>
      <c r="O88" s="1" t="s">
        <v>4524</v>
      </c>
      <c r="P88">
        <f t="shared" si="1"/>
        <v>-32.885401</v>
      </c>
      <c r="Q88">
        <f>IFERROR(__xludf.DUMMYFUNCTION("""COMPUTED_VALUE"""),-68.843815)</f>
        <v>-68.843815</v>
      </c>
      <c r="R88" t="str">
        <f>IFERROR(__xludf.DUMMYFUNCTION("""COMPUTED_VALUE"""),"Av, Las Heras 430, Mendoza , Argentina")</f>
        <v>Av, Las Heras 430, Mendoza , Argentina</v>
      </c>
      <c r="S88" t="str">
        <f>IFERROR(__xludf.DUMMYFUNCTION("""COMPUTED_VALUE"""),"Avenida Las Heras 430, Ciudad de Mendoza, Sección 1ª Parque Central, Mendoza, AR")</f>
        <v>Avenida Las Heras 430, Ciudad de Mendoza, Sección 1ª Parque Central, Mendoza, AR</v>
      </c>
    </row>
    <row r="89">
      <c r="A89" s="1">
        <v>1660.0</v>
      </c>
      <c r="D89" s="1" t="s">
        <v>4525</v>
      </c>
      <c r="E89" s="1" t="s">
        <v>3604</v>
      </c>
      <c r="F89" s="1" t="s">
        <v>4006</v>
      </c>
      <c r="G89" s="1" t="s">
        <v>4527</v>
      </c>
      <c r="I89" s="1" t="s">
        <v>21</v>
      </c>
      <c r="J89" s="1" t="s">
        <v>4529</v>
      </c>
      <c r="K89">
        <v>-68.843815</v>
      </c>
      <c r="L89">
        <v>-32.885401</v>
      </c>
      <c r="O89" s="1" t="s">
        <v>4531</v>
      </c>
      <c r="P89">
        <f t="shared" si="1"/>
        <v>-32.885401</v>
      </c>
      <c r="Q89">
        <f>IFERROR(__xludf.DUMMYFUNCTION("""COMPUTED_VALUE"""),-68.843815)</f>
        <v>-68.843815</v>
      </c>
      <c r="R89" t="str">
        <f>IFERROR(__xludf.DUMMYFUNCTION("""COMPUTED_VALUE"""),"Av, Las Heras 430 , Mendoza , Argentina")</f>
        <v>Av, Las Heras 430 , Mendoza , Argentina</v>
      </c>
      <c r="S89" t="str">
        <f>IFERROR(__xludf.DUMMYFUNCTION("""COMPUTED_VALUE"""),"Avenida Las Heras 430, Ciudad de Mendoza, Sección 1ª Parque Central, Mendoza, AR")</f>
        <v>Avenida Las Heras 430, Ciudad de Mendoza, Sección 1ª Parque Central, Mendoza, AR</v>
      </c>
    </row>
    <row r="90">
      <c r="A90" s="1">
        <v>1661.0</v>
      </c>
      <c r="D90" s="1" t="s">
        <v>4538</v>
      </c>
      <c r="E90" s="1" t="s">
        <v>3604</v>
      </c>
      <c r="F90" s="1" t="s">
        <v>4006</v>
      </c>
      <c r="G90" s="1" t="s">
        <v>4540</v>
      </c>
      <c r="I90" s="1" t="s">
        <v>21</v>
      </c>
      <c r="J90" s="1" t="s">
        <v>4541</v>
      </c>
      <c r="K90">
        <v>-68.843815</v>
      </c>
      <c r="L90">
        <v>-32.885401</v>
      </c>
      <c r="O90" s="1" t="s">
        <v>4531</v>
      </c>
      <c r="P90">
        <f t="shared" si="1"/>
        <v>-32.885401</v>
      </c>
      <c r="Q90">
        <f>IFERROR(__xludf.DUMMYFUNCTION("""COMPUTED_VALUE"""),-68.843815)</f>
        <v>-68.843815</v>
      </c>
      <c r="R90" t="str">
        <f>IFERROR(__xludf.DUMMYFUNCTION("""COMPUTED_VALUE"""),"Av, Las Heras 430 , Mendoza , Argentina")</f>
        <v>Av, Las Heras 430 , Mendoza , Argentina</v>
      </c>
      <c r="S90" t="str">
        <f>IFERROR(__xludf.DUMMYFUNCTION("""COMPUTED_VALUE"""),"Avenida Las Heras 430, Ciudad de Mendoza, Sección 1ª Parque Central, Mendoza, AR")</f>
        <v>Avenida Las Heras 430, Ciudad de Mendoza, Sección 1ª Parque Central, Mendoza, AR</v>
      </c>
    </row>
  </sheetData>
  <hyperlinks>
    <hyperlink r:id="rId1" ref="D46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195.0</v>
      </c>
      <c r="B2" s="1" t="s">
        <v>29</v>
      </c>
      <c r="C2" s="1">
        <v>10.0</v>
      </c>
      <c r="D2" s="1" t="s">
        <v>40</v>
      </c>
      <c r="E2" s="1" t="s">
        <v>42</v>
      </c>
      <c r="F2" s="1" t="s">
        <v>43</v>
      </c>
      <c r="G2" s="3" t="s">
        <v>49</v>
      </c>
      <c r="H2" s="1" t="s">
        <v>52</v>
      </c>
      <c r="I2" s="1" t="s">
        <v>21</v>
      </c>
      <c r="J2" s="1" t="s">
        <v>54</v>
      </c>
      <c r="K2" s="2">
        <v>-68.8409726</v>
      </c>
      <c r="L2" s="2">
        <v>-32.8909698</v>
      </c>
    </row>
    <row r="3">
      <c r="B3" s="1" t="s">
        <v>62</v>
      </c>
      <c r="C3" s="1">
        <v>8.0</v>
      </c>
      <c r="D3" s="1" t="s">
        <v>63</v>
      </c>
      <c r="E3" s="1" t="s">
        <v>42</v>
      </c>
      <c r="F3" s="1" t="s">
        <v>43</v>
      </c>
      <c r="G3" s="1" t="s">
        <v>65</v>
      </c>
      <c r="H3" s="1" t="s">
        <v>65</v>
      </c>
      <c r="I3" s="1" t="s">
        <v>21</v>
      </c>
      <c r="J3" s="1" t="s">
        <v>69</v>
      </c>
      <c r="K3" s="2">
        <v>-68.8496299</v>
      </c>
      <c r="L3" s="2">
        <v>-32.89304</v>
      </c>
    </row>
    <row r="4">
      <c r="B4" s="1" t="s">
        <v>62</v>
      </c>
      <c r="C4" s="1">
        <v>16.0</v>
      </c>
      <c r="D4" s="1" t="s">
        <v>72</v>
      </c>
      <c r="E4" s="1" t="s">
        <v>42</v>
      </c>
      <c r="F4" s="1" t="s">
        <v>43</v>
      </c>
      <c r="G4" s="1" t="s">
        <v>73</v>
      </c>
      <c r="H4" s="1" t="s">
        <v>73</v>
      </c>
      <c r="I4" s="1" t="s">
        <v>21</v>
      </c>
      <c r="J4" s="1" t="s">
        <v>75</v>
      </c>
      <c r="K4" s="2">
        <v>-68.84184809999999</v>
      </c>
      <c r="L4" s="2">
        <v>-32.89476</v>
      </c>
    </row>
    <row r="5">
      <c r="A5" s="1">
        <v>1458.0</v>
      </c>
      <c r="D5" s="1" t="s">
        <v>80</v>
      </c>
      <c r="E5" s="1" t="s">
        <v>42</v>
      </c>
      <c r="F5" s="1" t="s">
        <v>43</v>
      </c>
      <c r="G5" s="1" t="s">
        <v>82</v>
      </c>
      <c r="I5" s="1" t="s">
        <v>21</v>
      </c>
      <c r="J5" s="1" t="s">
        <v>83</v>
      </c>
      <c r="K5" s="2">
        <v>-68.838724</v>
      </c>
      <c r="L5" s="2">
        <v>-32.889123</v>
      </c>
    </row>
    <row r="6">
      <c r="A6" s="1">
        <v>1482.0</v>
      </c>
      <c r="D6" s="1" t="s">
        <v>89</v>
      </c>
      <c r="E6" s="1" t="s">
        <v>42</v>
      </c>
      <c r="F6" s="1" t="s">
        <v>43</v>
      </c>
      <c r="G6" s="1" t="s">
        <v>91</v>
      </c>
      <c r="I6" s="1" t="s">
        <v>21</v>
      </c>
      <c r="J6" s="1" t="s">
        <v>94</v>
      </c>
      <c r="K6" s="2">
        <v>-68.838724</v>
      </c>
      <c r="L6" s="2">
        <v>-32.889123</v>
      </c>
    </row>
    <row r="7">
      <c r="A7" s="1">
        <v>1580.0</v>
      </c>
      <c r="D7" s="1" t="s">
        <v>97</v>
      </c>
      <c r="E7" s="1" t="s">
        <v>42</v>
      </c>
      <c r="F7" s="1" t="s">
        <v>43</v>
      </c>
      <c r="G7" s="1" t="s">
        <v>99</v>
      </c>
      <c r="I7" s="1" t="s">
        <v>21</v>
      </c>
      <c r="J7" s="1" t="s">
        <v>100</v>
      </c>
      <c r="K7" s="2">
        <v>-68.83888499999999</v>
      </c>
      <c r="L7" s="2">
        <v>-32.8878402</v>
      </c>
    </row>
    <row r="8">
      <c r="A8" s="1">
        <v>1624.0</v>
      </c>
      <c r="D8" s="1" t="s">
        <v>105</v>
      </c>
      <c r="E8" s="1" t="s">
        <v>42</v>
      </c>
      <c r="F8" s="1" t="s">
        <v>43</v>
      </c>
      <c r="G8" s="1" t="s">
        <v>107</v>
      </c>
      <c r="I8" s="1" t="s">
        <v>21</v>
      </c>
      <c r="J8" s="1" t="s">
        <v>110</v>
      </c>
      <c r="K8" s="2">
        <v>-68.838791</v>
      </c>
      <c r="L8" s="2">
        <v>-32.89135290000001</v>
      </c>
    </row>
    <row r="9">
      <c r="A9" s="1">
        <v>1665.0</v>
      </c>
      <c r="D9" s="1" t="s">
        <v>114</v>
      </c>
      <c r="E9" s="1" t="s">
        <v>42</v>
      </c>
      <c r="F9" s="1" t="s">
        <v>43</v>
      </c>
      <c r="G9" s="1" t="s">
        <v>117</v>
      </c>
      <c r="I9" s="1" t="s">
        <v>21</v>
      </c>
      <c r="J9" s="1" t="s">
        <v>119</v>
      </c>
      <c r="K9" s="2">
        <v>-68.839045</v>
      </c>
      <c r="L9" s="2">
        <v>-32.888309</v>
      </c>
    </row>
    <row r="10">
      <c r="B10" s="1" t="s">
        <v>12</v>
      </c>
      <c r="C10" s="1">
        <v>1.0</v>
      </c>
      <c r="D10" s="1" t="s">
        <v>126</v>
      </c>
      <c r="E10" s="1" t="s">
        <v>42</v>
      </c>
      <c r="F10" s="1" t="s">
        <v>129</v>
      </c>
      <c r="G10" s="1" t="s">
        <v>130</v>
      </c>
      <c r="H10" s="1" t="s">
        <v>132</v>
      </c>
      <c r="I10" s="1" t="s">
        <v>21</v>
      </c>
      <c r="J10" s="1" t="s">
        <v>133</v>
      </c>
      <c r="K10" s="2">
        <v>-68.8496746</v>
      </c>
      <c r="L10" s="2">
        <v>-32.8840832</v>
      </c>
    </row>
    <row r="11">
      <c r="B11" s="1" t="s">
        <v>12</v>
      </c>
      <c r="C11" s="1">
        <v>8.0</v>
      </c>
      <c r="D11" s="1" t="s">
        <v>138</v>
      </c>
      <c r="E11" s="1" t="s">
        <v>42</v>
      </c>
      <c r="F11" s="1" t="s">
        <v>129</v>
      </c>
      <c r="G11" s="1" t="s">
        <v>141</v>
      </c>
      <c r="H11" s="1" t="s">
        <v>141</v>
      </c>
      <c r="I11" s="1" t="s">
        <v>21</v>
      </c>
      <c r="J11" s="1" t="s">
        <v>142</v>
      </c>
      <c r="K11" s="2">
        <v>-68.8586646</v>
      </c>
      <c r="L11" s="2">
        <v>-32.883565</v>
      </c>
    </row>
    <row r="12">
      <c r="B12" s="1" t="s">
        <v>51</v>
      </c>
      <c r="C12" s="1">
        <v>6.0</v>
      </c>
      <c r="D12" s="1" t="s">
        <v>148</v>
      </c>
      <c r="E12" s="1" t="s">
        <v>42</v>
      </c>
      <c r="F12" s="1" t="s">
        <v>129</v>
      </c>
      <c r="G12" s="1" t="s">
        <v>150</v>
      </c>
      <c r="H12" s="1" t="s">
        <v>150</v>
      </c>
      <c r="I12" s="1" t="s">
        <v>21</v>
      </c>
      <c r="J12" s="1" t="s">
        <v>151</v>
      </c>
      <c r="K12" s="2">
        <v>-68.84000449999999</v>
      </c>
      <c r="L12" s="2">
        <v>-32.890499</v>
      </c>
    </row>
    <row r="13">
      <c r="B13" s="1" t="s">
        <v>154</v>
      </c>
      <c r="C13" s="1">
        <v>4.0</v>
      </c>
      <c r="D13" s="1" t="s">
        <v>155</v>
      </c>
      <c r="E13" s="1" t="s">
        <v>42</v>
      </c>
      <c r="F13" s="1" t="s">
        <v>129</v>
      </c>
      <c r="G13" s="1" t="s">
        <v>158</v>
      </c>
      <c r="H13" s="1" t="s">
        <v>158</v>
      </c>
      <c r="I13" s="1" t="s">
        <v>21</v>
      </c>
      <c r="J13" s="1" t="s">
        <v>160</v>
      </c>
      <c r="K13" s="2">
        <v>-68.8494525</v>
      </c>
      <c r="L13" s="2">
        <v>-32.8886457</v>
      </c>
    </row>
    <row r="14">
      <c r="B14" s="1" t="s">
        <v>24</v>
      </c>
      <c r="C14" s="1">
        <v>3.0</v>
      </c>
      <c r="D14" s="1" t="s">
        <v>163</v>
      </c>
      <c r="E14" s="1" t="s">
        <v>42</v>
      </c>
      <c r="F14" s="1" t="s">
        <v>129</v>
      </c>
      <c r="G14" s="1" t="s">
        <v>164</v>
      </c>
      <c r="H14" s="1" t="s">
        <v>164</v>
      </c>
      <c r="I14" s="1" t="s">
        <v>21</v>
      </c>
      <c r="J14" s="1" t="s">
        <v>166</v>
      </c>
      <c r="K14" s="2">
        <v>-68.855323</v>
      </c>
      <c r="L14" s="2">
        <v>-32.892052</v>
      </c>
    </row>
    <row r="15">
      <c r="B15" s="1" t="s">
        <v>109</v>
      </c>
      <c r="C15" s="1">
        <v>2.0</v>
      </c>
      <c r="D15" s="1" t="s">
        <v>168</v>
      </c>
      <c r="E15" s="1" t="s">
        <v>42</v>
      </c>
      <c r="F15" s="1" t="s">
        <v>129</v>
      </c>
      <c r="G15" s="1" t="s">
        <v>170</v>
      </c>
      <c r="H15" s="1" t="s">
        <v>170</v>
      </c>
      <c r="I15" s="1" t="s">
        <v>21</v>
      </c>
      <c r="J15" s="1" t="s">
        <v>172</v>
      </c>
      <c r="K15" s="2">
        <v>-68.8394115</v>
      </c>
      <c r="L15" s="2">
        <v>-32.891648</v>
      </c>
    </row>
    <row r="16">
      <c r="B16" s="1" t="s">
        <v>109</v>
      </c>
      <c r="C16" s="1">
        <v>5.0</v>
      </c>
      <c r="D16" s="1" t="s">
        <v>175</v>
      </c>
      <c r="E16" s="1" t="s">
        <v>42</v>
      </c>
      <c r="F16" s="1" t="s">
        <v>129</v>
      </c>
      <c r="G16" s="1" t="s">
        <v>176</v>
      </c>
      <c r="H16" s="1" t="s">
        <v>176</v>
      </c>
      <c r="I16" s="1" t="s">
        <v>21</v>
      </c>
      <c r="J16" s="1" t="s">
        <v>179</v>
      </c>
      <c r="K16" s="2">
        <v>-68.838375</v>
      </c>
      <c r="L16" s="2">
        <v>-32.8875389</v>
      </c>
    </row>
    <row r="17">
      <c r="B17" s="1" t="s">
        <v>109</v>
      </c>
      <c r="C17" s="1">
        <v>5.0</v>
      </c>
      <c r="D17" s="1" t="s">
        <v>168</v>
      </c>
      <c r="E17" s="1" t="s">
        <v>42</v>
      </c>
      <c r="F17" s="1" t="s">
        <v>129</v>
      </c>
      <c r="G17" s="1" t="s">
        <v>184</v>
      </c>
      <c r="H17" s="1" t="s">
        <v>185</v>
      </c>
      <c r="I17" s="1" t="s">
        <v>21</v>
      </c>
      <c r="J17" s="1" t="s">
        <v>186</v>
      </c>
      <c r="K17" s="2">
        <v>-68.838647</v>
      </c>
      <c r="L17" s="2">
        <v>-32.888427</v>
      </c>
    </row>
    <row r="18">
      <c r="B18" s="1" t="s">
        <v>109</v>
      </c>
      <c r="C18" s="1">
        <v>9.0</v>
      </c>
      <c r="D18" s="1" t="s">
        <v>191</v>
      </c>
      <c r="E18" s="1" t="s">
        <v>42</v>
      </c>
      <c r="F18" s="1" t="s">
        <v>129</v>
      </c>
      <c r="G18" s="1" t="s">
        <v>194</v>
      </c>
      <c r="H18" s="1" t="s">
        <v>194</v>
      </c>
      <c r="I18" s="1" t="s">
        <v>21</v>
      </c>
      <c r="J18" s="1" t="s">
        <v>196</v>
      </c>
      <c r="K18" s="2">
        <v>-68.838364</v>
      </c>
      <c r="L18" s="2">
        <v>-32.886009</v>
      </c>
    </row>
    <row r="19">
      <c r="B19" s="1" t="s">
        <v>109</v>
      </c>
      <c r="C19" s="1">
        <v>10.0</v>
      </c>
      <c r="D19" s="1" t="s">
        <v>202</v>
      </c>
      <c r="E19" s="1" t="s">
        <v>42</v>
      </c>
      <c r="F19" s="1" t="s">
        <v>129</v>
      </c>
      <c r="G19" s="1" t="s">
        <v>204</v>
      </c>
      <c r="H19" s="1" t="s">
        <v>204</v>
      </c>
      <c r="I19" s="1" t="s">
        <v>21</v>
      </c>
      <c r="J19" s="1" t="s">
        <v>206</v>
      </c>
      <c r="K19" s="2">
        <v>-68.83858049999999</v>
      </c>
      <c r="L19" s="2">
        <v>-32.8868805</v>
      </c>
    </row>
    <row r="20">
      <c r="B20" s="1" t="s">
        <v>109</v>
      </c>
      <c r="C20" s="1">
        <v>12.0</v>
      </c>
      <c r="D20" s="1" t="s">
        <v>191</v>
      </c>
      <c r="E20" s="1" t="s">
        <v>42</v>
      </c>
      <c r="F20" s="1" t="s">
        <v>129</v>
      </c>
      <c r="G20" s="1" t="s">
        <v>210</v>
      </c>
      <c r="H20" s="1" t="s">
        <v>210</v>
      </c>
      <c r="I20" s="1" t="s">
        <v>21</v>
      </c>
      <c r="J20" s="1" t="s">
        <v>211</v>
      </c>
      <c r="K20" s="2">
        <v>-68.839186</v>
      </c>
      <c r="L20" s="2">
        <v>-32.88876</v>
      </c>
    </row>
    <row r="21">
      <c r="B21" s="1" t="s">
        <v>36</v>
      </c>
      <c r="C21" s="1">
        <v>1.0</v>
      </c>
      <c r="D21" s="1" t="s">
        <v>216</v>
      </c>
      <c r="E21" s="1" t="s">
        <v>42</v>
      </c>
      <c r="F21" s="1" t="s">
        <v>129</v>
      </c>
      <c r="G21" s="1" t="s">
        <v>218</v>
      </c>
      <c r="H21" s="1" t="s">
        <v>218</v>
      </c>
      <c r="I21" s="1" t="s">
        <v>21</v>
      </c>
      <c r="J21" s="1" t="s">
        <v>220</v>
      </c>
      <c r="K21" s="2">
        <v>-68.837412</v>
      </c>
      <c r="L21" s="2">
        <v>-32.8839789</v>
      </c>
    </row>
    <row r="22">
      <c r="B22" s="1" t="s">
        <v>36</v>
      </c>
      <c r="C22" s="1">
        <v>13.0</v>
      </c>
      <c r="D22" s="1" t="s">
        <v>225</v>
      </c>
      <c r="E22" s="1" t="s">
        <v>42</v>
      </c>
      <c r="F22" s="1" t="s">
        <v>129</v>
      </c>
      <c r="G22" s="1" t="s">
        <v>228</v>
      </c>
      <c r="H22" s="1" t="s">
        <v>228</v>
      </c>
      <c r="I22" s="1" t="s">
        <v>21</v>
      </c>
      <c r="J22" s="1" t="s">
        <v>230</v>
      </c>
      <c r="K22" s="2">
        <v>-68.837353</v>
      </c>
      <c r="L22" s="2">
        <v>-32.8819105</v>
      </c>
    </row>
    <row r="23">
      <c r="B23" s="1" t="s">
        <v>55</v>
      </c>
      <c r="C23" s="1">
        <v>3.0</v>
      </c>
      <c r="D23" s="1" t="s">
        <v>236</v>
      </c>
      <c r="E23" s="1" t="s">
        <v>42</v>
      </c>
      <c r="F23" s="1" t="s">
        <v>129</v>
      </c>
      <c r="G23" s="1" t="s">
        <v>238</v>
      </c>
      <c r="H23" s="1" t="s">
        <v>238</v>
      </c>
      <c r="I23" s="1" t="s">
        <v>21</v>
      </c>
      <c r="J23" s="1" t="s">
        <v>241</v>
      </c>
      <c r="K23" s="2">
        <v>-68.8408819</v>
      </c>
      <c r="L23" s="2">
        <v>-32.885627</v>
      </c>
    </row>
    <row r="24">
      <c r="B24" s="1" t="s">
        <v>55</v>
      </c>
      <c r="C24" s="1">
        <v>4.0</v>
      </c>
      <c r="D24" s="1" t="s">
        <v>246</v>
      </c>
      <c r="E24" s="1" t="s">
        <v>42</v>
      </c>
      <c r="F24" s="1" t="s">
        <v>129</v>
      </c>
      <c r="G24" s="1" t="s">
        <v>249</v>
      </c>
      <c r="H24" s="1" t="s">
        <v>249</v>
      </c>
      <c r="I24" s="1" t="s">
        <v>21</v>
      </c>
      <c r="J24" s="1" t="s">
        <v>251</v>
      </c>
      <c r="K24" s="2">
        <v>-68.8426729</v>
      </c>
      <c r="L24" s="2">
        <v>-32.8853159</v>
      </c>
    </row>
    <row r="25">
      <c r="B25" s="1" t="s">
        <v>55</v>
      </c>
      <c r="C25" s="1">
        <v>6.0</v>
      </c>
      <c r="D25" s="1" t="s">
        <v>256</v>
      </c>
      <c r="E25" s="1" t="s">
        <v>42</v>
      </c>
      <c r="F25" s="1" t="s">
        <v>129</v>
      </c>
      <c r="G25" s="1" t="s">
        <v>257</v>
      </c>
      <c r="H25" s="1" t="s">
        <v>257</v>
      </c>
      <c r="I25" s="1" t="s">
        <v>21</v>
      </c>
      <c r="J25" s="1" t="s">
        <v>260</v>
      </c>
      <c r="K25" s="2">
        <v>-68.844877</v>
      </c>
      <c r="L25" s="2">
        <v>-32.8849219</v>
      </c>
    </row>
    <row r="26">
      <c r="B26" s="1" t="s">
        <v>55</v>
      </c>
      <c r="C26" s="1">
        <v>7.0</v>
      </c>
      <c r="D26" s="1" t="s">
        <v>265</v>
      </c>
      <c r="E26" s="1" t="s">
        <v>42</v>
      </c>
      <c r="F26" s="1" t="s">
        <v>129</v>
      </c>
      <c r="G26" s="1" t="s">
        <v>267</v>
      </c>
      <c r="H26" s="1" t="s">
        <v>267</v>
      </c>
      <c r="I26" s="1" t="s">
        <v>21</v>
      </c>
      <c r="J26" s="1" t="s">
        <v>269</v>
      </c>
      <c r="K26" s="2">
        <v>-68.8460109</v>
      </c>
      <c r="L26" s="2">
        <v>-32.884734</v>
      </c>
    </row>
    <row r="27">
      <c r="B27" s="1" t="s">
        <v>55</v>
      </c>
      <c r="C27" s="1">
        <v>15.0</v>
      </c>
      <c r="D27" s="1" t="s">
        <v>175</v>
      </c>
      <c r="E27" s="1" t="s">
        <v>42</v>
      </c>
      <c r="F27" s="1" t="s">
        <v>129</v>
      </c>
      <c r="G27" s="1" t="s">
        <v>290</v>
      </c>
      <c r="H27" s="1" t="s">
        <v>290</v>
      </c>
      <c r="I27" s="1" t="s">
        <v>21</v>
      </c>
      <c r="J27" s="1" t="s">
        <v>293</v>
      </c>
      <c r="K27" s="2">
        <v>-68.840338</v>
      </c>
      <c r="L27" s="2">
        <v>-32.886086</v>
      </c>
    </row>
    <row r="28">
      <c r="B28" s="1" t="s">
        <v>62</v>
      </c>
      <c r="C28" s="1">
        <v>4.0</v>
      </c>
      <c r="D28" s="1" t="s">
        <v>297</v>
      </c>
      <c r="E28" s="1" t="s">
        <v>42</v>
      </c>
      <c r="F28" s="1" t="s">
        <v>129</v>
      </c>
      <c r="G28" s="1" t="s">
        <v>299</v>
      </c>
      <c r="H28" s="1" t="s">
        <v>299</v>
      </c>
      <c r="I28" s="1" t="s">
        <v>21</v>
      </c>
      <c r="J28" s="1" t="s">
        <v>302</v>
      </c>
      <c r="K28" s="2">
        <v>-68.8451201</v>
      </c>
      <c r="L28" s="2">
        <v>-32.8939984</v>
      </c>
    </row>
    <row r="29">
      <c r="B29" s="1" t="s">
        <v>62</v>
      </c>
      <c r="C29" s="1">
        <v>5.0</v>
      </c>
      <c r="D29" s="1" t="s">
        <v>306</v>
      </c>
      <c r="E29" s="1" t="s">
        <v>42</v>
      </c>
      <c r="F29" s="1" t="s">
        <v>129</v>
      </c>
      <c r="G29" s="1" t="s">
        <v>308</v>
      </c>
      <c r="H29" s="1" t="s">
        <v>310</v>
      </c>
      <c r="I29" s="1" t="s">
        <v>21</v>
      </c>
      <c r="J29" s="1" t="s">
        <v>311</v>
      </c>
      <c r="K29" s="2">
        <v>-68.8464841</v>
      </c>
      <c r="L29" s="2">
        <v>-32.8937266</v>
      </c>
    </row>
    <row r="30">
      <c r="B30" s="1" t="s">
        <v>62</v>
      </c>
      <c r="C30" s="1">
        <v>6.0</v>
      </c>
      <c r="D30" s="1" t="s">
        <v>236</v>
      </c>
      <c r="E30" s="1" t="s">
        <v>42</v>
      </c>
      <c r="F30" s="1" t="s">
        <v>129</v>
      </c>
      <c r="G30" s="1" t="s">
        <v>316</v>
      </c>
      <c r="H30" s="1" t="s">
        <v>316</v>
      </c>
      <c r="I30" s="1" t="s">
        <v>21</v>
      </c>
      <c r="J30" s="1" t="s">
        <v>319</v>
      </c>
      <c r="K30" s="2">
        <v>-68.847444</v>
      </c>
      <c r="L30" s="2">
        <v>-32.8935588</v>
      </c>
    </row>
    <row r="31">
      <c r="B31" s="1" t="s">
        <v>62</v>
      </c>
      <c r="C31" s="1">
        <v>9.0</v>
      </c>
      <c r="D31" s="1" t="s">
        <v>297</v>
      </c>
      <c r="E31" s="1" t="s">
        <v>42</v>
      </c>
      <c r="F31" s="1" t="s">
        <v>129</v>
      </c>
      <c r="G31" s="1" t="s">
        <v>324</v>
      </c>
      <c r="H31" s="1" t="s">
        <v>324</v>
      </c>
      <c r="I31" s="1" t="s">
        <v>21</v>
      </c>
      <c r="J31" s="1" t="s">
        <v>326</v>
      </c>
      <c r="K31" s="2">
        <v>-68.850633</v>
      </c>
      <c r="L31" s="2">
        <v>-32.8932659</v>
      </c>
    </row>
    <row r="32">
      <c r="B32" s="1" t="s">
        <v>62</v>
      </c>
      <c r="C32" s="1">
        <v>13.0</v>
      </c>
      <c r="D32" s="1" t="s">
        <v>246</v>
      </c>
      <c r="E32" s="1" t="s">
        <v>42</v>
      </c>
      <c r="F32" s="1" t="s">
        <v>129</v>
      </c>
      <c r="G32" s="1" t="s">
        <v>333</v>
      </c>
      <c r="H32" s="1" t="s">
        <v>333</v>
      </c>
      <c r="I32" s="1" t="s">
        <v>21</v>
      </c>
      <c r="J32" s="1" t="s">
        <v>336</v>
      </c>
      <c r="K32" s="2">
        <v>-68.84492</v>
      </c>
      <c r="L32" s="2">
        <v>-32.8945299</v>
      </c>
    </row>
    <row r="33">
      <c r="B33" s="1" t="s">
        <v>62</v>
      </c>
      <c r="C33" s="1">
        <v>16.0</v>
      </c>
      <c r="D33" s="1" t="s">
        <v>340</v>
      </c>
      <c r="E33" s="1" t="s">
        <v>42</v>
      </c>
      <c r="F33" s="1" t="s">
        <v>129</v>
      </c>
      <c r="G33" s="1" t="s">
        <v>342</v>
      </c>
      <c r="H33" s="1" t="s">
        <v>342</v>
      </c>
      <c r="I33" s="1" t="s">
        <v>21</v>
      </c>
      <c r="J33" s="1" t="s">
        <v>344</v>
      </c>
      <c r="K33" s="2">
        <v>-68.8426269</v>
      </c>
      <c r="L33" s="2">
        <v>-32.894723</v>
      </c>
    </row>
    <row r="34">
      <c r="B34" s="1" t="s">
        <v>120</v>
      </c>
      <c r="C34" s="1">
        <v>1.0</v>
      </c>
      <c r="D34" s="1" t="s">
        <v>346</v>
      </c>
      <c r="E34" s="1" t="s">
        <v>42</v>
      </c>
      <c r="F34" s="1" t="s">
        <v>129</v>
      </c>
      <c r="G34" s="1" t="s">
        <v>349</v>
      </c>
      <c r="H34" s="1" t="s">
        <v>349</v>
      </c>
      <c r="I34" s="1" t="s">
        <v>21</v>
      </c>
      <c r="J34" s="1" t="s">
        <v>352</v>
      </c>
      <c r="K34" s="2">
        <v>-68.8593958</v>
      </c>
      <c r="L34" s="2">
        <v>-32.8742296</v>
      </c>
    </row>
    <row r="35">
      <c r="B35" s="1" t="s">
        <v>120</v>
      </c>
      <c r="C35" s="1">
        <v>1.0</v>
      </c>
      <c r="D35" s="1" t="s">
        <v>355</v>
      </c>
      <c r="E35" s="1" t="s">
        <v>42</v>
      </c>
      <c r="F35" s="1" t="s">
        <v>129</v>
      </c>
      <c r="G35" s="1" t="s">
        <v>356</v>
      </c>
      <c r="H35" s="1" t="s">
        <v>356</v>
      </c>
      <c r="I35" s="1" t="s">
        <v>21</v>
      </c>
      <c r="J35" s="1" t="s">
        <v>363</v>
      </c>
      <c r="K35" s="2">
        <v>-68.8399429</v>
      </c>
      <c r="L35" s="2">
        <v>-32.889226</v>
      </c>
    </row>
    <row r="36">
      <c r="B36" s="1" t="s">
        <v>120</v>
      </c>
      <c r="C36" s="1">
        <v>1.0</v>
      </c>
      <c r="D36" s="1" t="s">
        <v>297</v>
      </c>
      <c r="E36" s="1" t="s">
        <v>42</v>
      </c>
      <c r="F36" s="1" t="s">
        <v>129</v>
      </c>
      <c r="G36" s="1" t="s">
        <v>368</v>
      </c>
      <c r="H36" s="1" t="s">
        <v>368</v>
      </c>
      <c r="I36" s="1" t="s">
        <v>21</v>
      </c>
      <c r="J36" s="1" t="s">
        <v>370</v>
      </c>
      <c r="K36" s="2">
        <v>-68.840526</v>
      </c>
      <c r="L36" s="2">
        <v>-32.8890959</v>
      </c>
    </row>
    <row r="37">
      <c r="B37" s="1" t="s">
        <v>120</v>
      </c>
      <c r="C37" s="1">
        <v>4.0</v>
      </c>
      <c r="D37" s="1" t="s">
        <v>374</v>
      </c>
      <c r="E37" s="1" t="s">
        <v>42</v>
      </c>
      <c r="F37" s="1" t="s">
        <v>129</v>
      </c>
      <c r="G37" s="1" t="s">
        <v>377</v>
      </c>
      <c r="H37" s="1" t="s">
        <v>377</v>
      </c>
      <c r="I37" s="1" t="s">
        <v>21</v>
      </c>
      <c r="J37" s="1" t="s">
        <v>378</v>
      </c>
      <c r="K37" s="2">
        <v>-68.8417764</v>
      </c>
      <c r="L37" s="2">
        <v>-32.8891008</v>
      </c>
    </row>
    <row r="38">
      <c r="B38" s="1" t="s">
        <v>227</v>
      </c>
      <c r="C38" s="1">
        <v>7.0</v>
      </c>
      <c r="D38" s="1" t="s">
        <v>381</v>
      </c>
      <c r="E38" s="1" t="s">
        <v>42</v>
      </c>
      <c r="F38" s="1" t="s">
        <v>129</v>
      </c>
      <c r="G38" s="1" t="s">
        <v>384</v>
      </c>
      <c r="H38" s="1" t="s">
        <v>384</v>
      </c>
      <c r="I38" s="1" t="s">
        <v>21</v>
      </c>
      <c r="J38" s="1" t="s">
        <v>387</v>
      </c>
      <c r="K38" s="2">
        <v>-68.8254803</v>
      </c>
      <c r="L38" s="2">
        <v>-32.8889347</v>
      </c>
    </row>
    <row r="39">
      <c r="B39" s="1" t="s">
        <v>248</v>
      </c>
      <c r="C39" s="1">
        <v>1.0</v>
      </c>
      <c r="D39" s="1" t="s">
        <v>388</v>
      </c>
      <c r="E39" s="1" t="s">
        <v>42</v>
      </c>
      <c r="F39" s="1" t="s">
        <v>129</v>
      </c>
      <c r="G39" s="1" t="s">
        <v>390</v>
      </c>
      <c r="H39" s="1" t="s">
        <v>390</v>
      </c>
      <c r="I39" s="1" t="s">
        <v>21</v>
      </c>
      <c r="J39" s="1" t="s">
        <v>392</v>
      </c>
      <c r="K39" s="2">
        <v>-68.840654</v>
      </c>
      <c r="L39" s="2">
        <v>-32.8846135</v>
      </c>
    </row>
    <row r="40">
      <c r="B40" s="1" t="s">
        <v>248</v>
      </c>
      <c r="C40" s="1">
        <v>2.0</v>
      </c>
      <c r="D40" s="1" t="s">
        <v>191</v>
      </c>
      <c r="E40" s="1" t="s">
        <v>42</v>
      </c>
      <c r="F40" s="1" t="s">
        <v>129</v>
      </c>
      <c r="G40" s="1" t="s">
        <v>395</v>
      </c>
      <c r="H40" s="1" t="s">
        <v>395</v>
      </c>
      <c r="I40" s="1" t="s">
        <v>21</v>
      </c>
      <c r="J40" s="1" t="s">
        <v>396</v>
      </c>
      <c r="K40" s="2">
        <v>-68.8458386</v>
      </c>
      <c r="L40" s="2">
        <v>-32.8894587</v>
      </c>
    </row>
    <row r="41">
      <c r="B41" s="1" t="s">
        <v>248</v>
      </c>
      <c r="C41" s="1">
        <v>6.0</v>
      </c>
      <c r="D41" s="1" t="s">
        <v>399</v>
      </c>
      <c r="E41" s="1" t="s">
        <v>42</v>
      </c>
      <c r="F41" s="1" t="s">
        <v>129</v>
      </c>
      <c r="G41" s="1" t="s">
        <v>401</v>
      </c>
      <c r="H41" s="1" t="s">
        <v>401</v>
      </c>
      <c r="I41" s="1" t="s">
        <v>21</v>
      </c>
      <c r="J41" s="1" t="s">
        <v>402</v>
      </c>
      <c r="K41" s="2">
        <v>-68.84205779999999</v>
      </c>
      <c r="L41" s="2">
        <v>-32.8897799</v>
      </c>
    </row>
    <row r="42">
      <c r="B42" s="1" t="s">
        <v>248</v>
      </c>
      <c r="C42" s="1">
        <v>6.0</v>
      </c>
      <c r="D42" s="1" t="s">
        <v>191</v>
      </c>
      <c r="E42" s="1" t="s">
        <v>42</v>
      </c>
      <c r="F42" s="1" t="s">
        <v>129</v>
      </c>
      <c r="G42" s="1" t="s">
        <v>377</v>
      </c>
      <c r="H42" s="1" t="s">
        <v>377</v>
      </c>
      <c r="I42" s="1" t="s">
        <v>21</v>
      </c>
      <c r="J42" s="1" t="s">
        <v>378</v>
      </c>
      <c r="K42" s="2">
        <v>-68.8417764</v>
      </c>
      <c r="L42" s="2">
        <v>-32.8891008</v>
      </c>
    </row>
    <row r="43">
      <c r="B43" s="1" t="s">
        <v>248</v>
      </c>
      <c r="C43" s="1">
        <v>8.0</v>
      </c>
      <c r="D43" s="1" t="s">
        <v>163</v>
      </c>
      <c r="E43" s="1" t="s">
        <v>42</v>
      </c>
      <c r="F43" s="1" t="s">
        <v>129</v>
      </c>
      <c r="G43" s="1" t="s">
        <v>407</v>
      </c>
      <c r="H43" s="1" t="s">
        <v>407</v>
      </c>
      <c r="I43" s="1" t="s">
        <v>21</v>
      </c>
      <c r="J43" s="1" t="s">
        <v>408</v>
      </c>
      <c r="K43" s="2">
        <v>-68.842507</v>
      </c>
      <c r="L43" s="2">
        <v>-32.8915092</v>
      </c>
    </row>
    <row r="44">
      <c r="B44" s="1" t="s">
        <v>248</v>
      </c>
      <c r="C44" s="1">
        <v>9.0</v>
      </c>
      <c r="D44" s="1" t="s">
        <v>399</v>
      </c>
      <c r="E44" s="1" t="s">
        <v>42</v>
      </c>
      <c r="F44" s="1" t="s">
        <v>129</v>
      </c>
      <c r="G44" s="1" t="s">
        <v>411</v>
      </c>
      <c r="H44" s="1" t="s">
        <v>411</v>
      </c>
      <c r="I44" s="1" t="s">
        <v>21</v>
      </c>
      <c r="J44" s="1" t="s">
        <v>414</v>
      </c>
      <c r="K44" s="2">
        <v>-68.8458386</v>
      </c>
      <c r="L44" s="2">
        <v>-32.8894587</v>
      </c>
    </row>
    <row r="45">
      <c r="B45" s="1" t="s">
        <v>29</v>
      </c>
      <c r="C45" s="1">
        <v>2.0</v>
      </c>
      <c r="D45" s="1" t="s">
        <v>416</v>
      </c>
      <c r="E45" s="1" t="s">
        <v>42</v>
      </c>
      <c r="F45" s="1" t="s">
        <v>417</v>
      </c>
      <c r="G45" s="3" t="s">
        <v>421</v>
      </c>
      <c r="H45" s="3" t="s">
        <v>421</v>
      </c>
      <c r="I45" s="1" t="s">
        <v>21</v>
      </c>
      <c r="J45" s="1" t="s">
        <v>423</v>
      </c>
      <c r="K45" s="2">
        <v>-68.8394859</v>
      </c>
      <c r="L45" s="2">
        <v>-32.885269</v>
      </c>
    </row>
    <row r="46">
      <c r="B46" s="1" t="s">
        <v>29</v>
      </c>
      <c r="C46" s="1">
        <v>2.0</v>
      </c>
      <c r="D46" s="1" t="s">
        <v>426</v>
      </c>
      <c r="E46" s="1" t="s">
        <v>42</v>
      </c>
      <c r="F46" s="1" t="s">
        <v>417</v>
      </c>
      <c r="G46" s="3" t="s">
        <v>427</v>
      </c>
      <c r="H46" s="3" t="s">
        <v>427</v>
      </c>
      <c r="I46" s="1" t="s">
        <v>21</v>
      </c>
      <c r="J46" s="1" t="s">
        <v>429</v>
      </c>
      <c r="K46" s="2">
        <v>-68.83965239999999</v>
      </c>
      <c r="L46" s="2">
        <v>-32.8858727</v>
      </c>
    </row>
    <row r="47">
      <c r="B47" s="1" t="s">
        <v>29</v>
      </c>
      <c r="C47" s="1">
        <v>14.0</v>
      </c>
      <c r="D47" s="1" t="s">
        <v>431</v>
      </c>
      <c r="E47" s="1" t="s">
        <v>42</v>
      </c>
      <c r="F47" s="1" t="s">
        <v>417</v>
      </c>
      <c r="G47" s="3" t="s">
        <v>432</v>
      </c>
      <c r="H47" s="3" t="s">
        <v>432</v>
      </c>
      <c r="I47" s="1" t="s">
        <v>21</v>
      </c>
      <c r="J47" s="1" t="s">
        <v>434</v>
      </c>
      <c r="K47" s="2">
        <v>-68.8393959</v>
      </c>
      <c r="L47" s="2">
        <v>-32.886248</v>
      </c>
    </row>
    <row r="48">
      <c r="B48" s="1" t="s">
        <v>51</v>
      </c>
      <c r="C48" s="1">
        <v>3.0</v>
      </c>
      <c r="D48" s="1" t="s">
        <v>436</v>
      </c>
      <c r="E48" s="1" t="s">
        <v>42</v>
      </c>
      <c r="F48" s="1" t="s">
        <v>417</v>
      </c>
      <c r="G48" s="1" t="s">
        <v>437</v>
      </c>
      <c r="H48" s="1" t="s">
        <v>437</v>
      </c>
      <c r="I48" s="1" t="s">
        <v>21</v>
      </c>
      <c r="J48" s="1" t="s">
        <v>439</v>
      </c>
      <c r="K48" s="2">
        <v>-68.84000449999999</v>
      </c>
      <c r="L48" s="2">
        <v>-32.890499</v>
      </c>
    </row>
    <row r="49">
      <c r="B49" s="1" t="s">
        <v>51</v>
      </c>
      <c r="C49" s="1">
        <v>3.0</v>
      </c>
      <c r="D49" s="1" t="s">
        <v>441</v>
      </c>
      <c r="E49" s="1" t="s">
        <v>42</v>
      </c>
      <c r="F49" s="1" t="s">
        <v>417</v>
      </c>
      <c r="G49" s="1" t="s">
        <v>442</v>
      </c>
      <c r="H49" s="1" t="s">
        <v>442</v>
      </c>
      <c r="I49" s="1" t="s">
        <v>21</v>
      </c>
      <c r="J49" s="1" t="s">
        <v>445</v>
      </c>
      <c r="K49" s="2">
        <v>-68.84232999999999</v>
      </c>
      <c r="L49" s="2">
        <v>-32.890159</v>
      </c>
    </row>
    <row r="50">
      <c r="B50" s="1" t="s">
        <v>109</v>
      </c>
      <c r="C50" s="1">
        <v>10.0</v>
      </c>
      <c r="D50" s="1" t="s">
        <v>447</v>
      </c>
      <c r="E50" s="1" t="s">
        <v>42</v>
      </c>
      <c r="F50" s="1" t="s">
        <v>417</v>
      </c>
      <c r="G50" s="1" t="s">
        <v>449</v>
      </c>
      <c r="H50" s="1" t="s">
        <v>450</v>
      </c>
      <c r="I50" s="1" t="s">
        <v>21</v>
      </c>
      <c r="J50" s="1" t="s">
        <v>452</v>
      </c>
      <c r="K50" s="2">
        <v>-68.8382903</v>
      </c>
      <c r="L50" s="2">
        <v>-32.886368</v>
      </c>
    </row>
    <row r="51">
      <c r="B51" s="1" t="s">
        <v>109</v>
      </c>
      <c r="C51" s="1">
        <v>14.0</v>
      </c>
      <c r="D51" s="1" t="s">
        <v>416</v>
      </c>
      <c r="E51" s="1" t="s">
        <v>42</v>
      </c>
      <c r="F51" s="1" t="s">
        <v>417</v>
      </c>
      <c r="G51" s="1" t="s">
        <v>454</v>
      </c>
      <c r="H51" s="1" t="s">
        <v>455</v>
      </c>
      <c r="I51" s="1" t="s">
        <v>21</v>
      </c>
      <c r="J51" s="1" t="s">
        <v>456</v>
      </c>
      <c r="K51" s="2">
        <v>-68.839793</v>
      </c>
      <c r="L51" s="2">
        <v>-32.89123</v>
      </c>
    </row>
    <row r="52">
      <c r="B52" s="1" t="s">
        <v>109</v>
      </c>
      <c r="C52" s="1">
        <v>14.0</v>
      </c>
      <c r="D52" s="1" t="s">
        <v>426</v>
      </c>
      <c r="E52" s="1" t="s">
        <v>42</v>
      </c>
      <c r="F52" s="1" t="s">
        <v>417</v>
      </c>
      <c r="G52" s="1" t="s">
        <v>459</v>
      </c>
      <c r="H52" s="1" t="s">
        <v>459</v>
      </c>
      <c r="I52" s="1" t="s">
        <v>21</v>
      </c>
      <c r="J52" s="1" t="s">
        <v>461</v>
      </c>
      <c r="K52" s="2">
        <v>-68.8700868</v>
      </c>
      <c r="L52" s="2">
        <v>-32.8898095</v>
      </c>
    </row>
    <row r="53">
      <c r="B53" s="1" t="s">
        <v>55</v>
      </c>
      <c r="C53" s="1">
        <v>2.0</v>
      </c>
      <c r="D53" s="1" t="s">
        <v>462</v>
      </c>
      <c r="E53" s="1" t="s">
        <v>42</v>
      </c>
      <c r="F53" s="1" t="s">
        <v>417</v>
      </c>
      <c r="G53" s="1" t="s">
        <v>463</v>
      </c>
      <c r="H53" s="1" t="s">
        <v>463</v>
      </c>
      <c r="I53" s="1" t="s">
        <v>21</v>
      </c>
      <c r="J53" s="1" t="s">
        <v>465</v>
      </c>
      <c r="K53" s="2">
        <v>-68.839598</v>
      </c>
      <c r="L53" s="2">
        <v>-32.885912</v>
      </c>
    </row>
    <row r="54">
      <c r="B54" s="1" t="s">
        <v>62</v>
      </c>
      <c r="C54" s="1">
        <v>3.0</v>
      </c>
      <c r="D54" s="1" t="s">
        <v>468</v>
      </c>
      <c r="E54" s="1" t="s">
        <v>42</v>
      </c>
      <c r="F54" s="1" t="s">
        <v>417</v>
      </c>
      <c r="G54" s="1" t="s">
        <v>469</v>
      </c>
      <c r="H54" s="1" t="s">
        <v>469</v>
      </c>
      <c r="I54" s="1" t="s">
        <v>21</v>
      </c>
      <c r="J54" s="1" t="s">
        <v>470</v>
      </c>
      <c r="K54" s="2">
        <v>-68.8444765</v>
      </c>
      <c r="L54" s="2">
        <v>-32.8940947</v>
      </c>
    </row>
    <row r="55">
      <c r="B55" s="1" t="s">
        <v>62</v>
      </c>
      <c r="C55" s="1">
        <v>5.0</v>
      </c>
      <c r="D55" s="1" t="s">
        <v>416</v>
      </c>
      <c r="E55" s="1" t="s">
        <v>42</v>
      </c>
      <c r="F55" s="1" t="s">
        <v>417</v>
      </c>
      <c r="G55" s="1" t="s">
        <v>473</v>
      </c>
      <c r="H55" s="1" t="s">
        <v>474</v>
      </c>
      <c r="I55" s="1" t="s">
        <v>21</v>
      </c>
      <c r="J55" s="1" t="s">
        <v>476</v>
      </c>
      <c r="K55" s="2">
        <v>-68.8460635</v>
      </c>
      <c r="L55" s="2">
        <v>-32.8938367</v>
      </c>
    </row>
    <row r="56">
      <c r="B56" s="1" t="s">
        <v>62</v>
      </c>
      <c r="C56" s="1">
        <v>7.0</v>
      </c>
      <c r="D56" s="1" t="s">
        <v>485</v>
      </c>
      <c r="E56" s="1" t="s">
        <v>42</v>
      </c>
      <c r="F56" s="1" t="s">
        <v>417</v>
      </c>
      <c r="G56" s="1" t="s">
        <v>487</v>
      </c>
      <c r="H56" s="1" t="s">
        <v>487</v>
      </c>
      <c r="I56" s="1" t="s">
        <v>21</v>
      </c>
      <c r="J56" s="1" t="s">
        <v>489</v>
      </c>
      <c r="K56" s="2">
        <v>-68.848995</v>
      </c>
      <c r="L56" s="2">
        <v>-32.89327</v>
      </c>
    </row>
    <row r="57">
      <c r="B57" s="1" t="s">
        <v>120</v>
      </c>
      <c r="C57" s="1">
        <v>2.0</v>
      </c>
      <c r="D57" s="1" t="s">
        <v>490</v>
      </c>
      <c r="E57" s="1" t="s">
        <v>42</v>
      </c>
      <c r="F57" s="1" t="s">
        <v>417</v>
      </c>
      <c r="G57" s="1" t="s">
        <v>491</v>
      </c>
      <c r="H57" s="1" t="s">
        <v>491</v>
      </c>
      <c r="I57" s="1" t="s">
        <v>21</v>
      </c>
      <c r="J57" s="1" t="s">
        <v>493</v>
      </c>
      <c r="K57" s="2">
        <v>-68.8405436</v>
      </c>
      <c r="L57" s="2">
        <v>-32.8891357</v>
      </c>
    </row>
    <row r="58">
      <c r="B58" s="1" t="s">
        <v>120</v>
      </c>
      <c r="C58" s="1">
        <v>2.0</v>
      </c>
      <c r="D58" s="1" t="s">
        <v>495</v>
      </c>
      <c r="E58" s="1" t="s">
        <v>42</v>
      </c>
      <c r="F58" s="1" t="s">
        <v>417</v>
      </c>
      <c r="G58" s="1" t="s">
        <v>496</v>
      </c>
      <c r="H58" s="1" t="s">
        <v>496</v>
      </c>
      <c r="I58" s="1" t="s">
        <v>21</v>
      </c>
      <c r="J58" s="1" t="s">
        <v>498</v>
      </c>
      <c r="K58" s="2">
        <v>-68.8405935</v>
      </c>
      <c r="L58" s="2">
        <v>-32.889214</v>
      </c>
    </row>
    <row r="59">
      <c r="B59" s="1" t="s">
        <v>120</v>
      </c>
      <c r="C59" s="1">
        <v>3.0</v>
      </c>
      <c r="D59" s="1" t="s">
        <v>500</v>
      </c>
      <c r="E59" s="1" t="s">
        <v>42</v>
      </c>
      <c r="F59" s="1" t="s">
        <v>417</v>
      </c>
      <c r="G59" s="1" t="s">
        <v>502</v>
      </c>
      <c r="H59" s="1" t="s">
        <v>502</v>
      </c>
      <c r="I59" s="1" t="s">
        <v>21</v>
      </c>
      <c r="J59" s="1" t="s">
        <v>503</v>
      </c>
      <c r="K59" s="2">
        <v>-68.8443046</v>
      </c>
      <c r="L59" s="2">
        <v>-32.888599</v>
      </c>
    </row>
    <row r="60">
      <c r="B60" s="1" t="s">
        <v>120</v>
      </c>
      <c r="C60" s="1">
        <v>5.0</v>
      </c>
      <c r="D60" s="1" t="s">
        <v>505</v>
      </c>
      <c r="E60" s="1" t="s">
        <v>42</v>
      </c>
      <c r="F60" s="1" t="s">
        <v>417</v>
      </c>
      <c r="G60" s="1" t="s">
        <v>506</v>
      </c>
      <c r="H60" s="1" t="s">
        <v>506</v>
      </c>
      <c r="I60" s="1" t="s">
        <v>21</v>
      </c>
      <c r="J60" s="1" t="s">
        <v>508</v>
      </c>
      <c r="K60" s="2">
        <v>-68.841319</v>
      </c>
      <c r="L60" s="2">
        <v>-32.8892499</v>
      </c>
    </row>
    <row r="61">
      <c r="B61" s="1" t="s">
        <v>227</v>
      </c>
      <c r="C61" s="1">
        <v>10.0</v>
      </c>
      <c r="D61" s="1" t="s">
        <v>510</v>
      </c>
      <c r="E61" s="1" t="s">
        <v>42</v>
      </c>
      <c r="F61" s="1" t="s">
        <v>417</v>
      </c>
      <c r="G61" s="1" t="s">
        <v>511</v>
      </c>
      <c r="H61" s="1" t="s">
        <v>511</v>
      </c>
      <c r="I61" s="1" t="s">
        <v>21</v>
      </c>
      <c r="J61" s="1" t="s">
        <v>513</v>
      </c>
      <c r="K61" s="2">
        <v>-68.8383605</v>
      </c>
      <c r="L61" s="2">
        <v>-32.8841411</v>
      </c>
    </row>
    <row r="62">
      <c r="B62" s="1" t="s">
        <v>248</v>
      </c>
      <c r="C62" s="1">
        <v>2.0</v>
      </c>
      <c r="D62" s="1" t="s">
        <v>515</v>
      </c>
      <c r="E62" s="1" t="s">
        <v>42</v>
      </c>
      <c r="F62" s="1" t="s">
        <v>417</v>
      </c>
      <c r="G62" s="1" t="s">
        <v>517</v>
      </c>
      <c r="H62" s="1" t="s">
        <v>517</v>
      </c>
      <c r="I62" s="1" t="s">
        <v>21</v>
      </c>
      <c r="J62" s="1" t="s">
        <v>518</v>
      </c>
      <c r="K62" s="2">
        <v>-68.8420336</v>
      </c>
      <c r="L62" s="2">
        <v>-32.89297640000001</v>
      </c>
    </row>
    <row r="63">
      <c r="B63" s="1" t="s">
        <v>248</v>
      </c>
      <c r="C63" s="1">
        <v>6.0</v>
      </c>
      <c r="D63" s="1" t="s">
        <v>436</v>
      </c>
      <c r="E63" s="1" t="s">
        <v>42</v>
      </c>
      <c r="F63" s="1" t="s">
        <v>417</v>
      </c>
      <c r="G63" s="1" t="s">
        <v>522</v>
      </c>
      <c r="H63" s="1" t="s">
        <v>522</v>
      </c>
      <c r="I63" s="1" t="s">
        <v>21</v>
      </c>
      <c r="J63" s="1" t="s">
        <v>523</v>
      </c>
      <c r="K63" s="2">
        <v>-68.842109</v>
      </c>
      <c r="L63" s="2">
        <v>-32.8899531</v>
      </c>
    </row>
    <row r="64">
      <c r="B64" s="1" t="s">
        <v>248</v>
      </c>
      <c r="C64" s="1">
        <v>6.0</v>
      </c>
      <c r="D64" s="1" t="s">
        <v>416</v>
      </c>
      <c r="E64" s="1" t="s">
        <v>42</v>
      </c>
      <c r="F64" s="1" t="s">
        <v>417</v>
      </c>
      <c r="G64" s="1" t="s">
        <v>527</v>
      </c>
      <c r="H64" s="1" t="s">
        <v>527</v>
      </c>
      <c r="I64" s="1" t="s">
        <v>21</v>
      </c>
      <c r="J64" s="1" t="s">
        <v>528</v>
      </c>
      <c r="K64" s="2">
        <v>-68.8458386</v>
      </c>
      <c r="L64" s="2">
        <v>-32.8894587</v>
      </c>
    </row>
    <row r="65">
      <c r="B65" s="1" t="s">
        <v>248</v>
      </c>
      <c r="C65" s="1">
        <v>8.0</v>
      </c>
      <c r="D65" s="1" t="s">
        <v>530</v>
      </c>
      <c r="E65" s="1" t="s">
        <v>42</v>
      </c>
      <c r="F65" s="1" t="s">
        <v>417</v>
      </c>
      <c r="G65" s="1" t="s">
        <v>532</v>
      </c>
      <c r="H65" s="1" t="s">
        <v>532</v>
      </c>
      <c r="I65" s="1" t="s">
        <v>21</v>
      </c>
      <c r="J65" s="1" t="s">
        <v>534</v>
      </c>
      <c r="K65" s="2">
        <v>-68.8425479</v>
      </c>
      <c r="L65" s="2">
        <v>-32.8920479</v>
      </c>
    </row>
    <row r="66">
      <c r="B66" s="1" t="s">
        <v>248</v>
      </c>
      <c r="C66" s="1">
        <v>8.0</v>
      </c>
      <c r="D66" s="1" t="s">
        <v>535</v>
      </c>
      <c r="E66" s="1" t="s">
        <v>42</v>
      </c>
      <c r="F66" s="1" t="s">
        <v>417</v>
      </c>
      <c r="G66" s="1" t="s">
        <v>537</v>
      </c>
      <c r="H66" s="1" t="s">
        <v>537</v>
      </c>
      <c r="I66" s="1" t="s">
        <v>21</v>
      </c>
      <c r="J66" s="1" t="s">
        <v>539</v>
      </c>
      <c r="K66" s="2">
        <v>-68.84238359999999</v>
      </c>
      <c r="L66" s="2">
        <v>-32.8914478</v>
      </c>
    </row>
    <row r="67">
      <c r="B67" s="1" t="s">
        <v>248</v>
      </c>
      <c r="C67" s="1">
        <v>9.0</v>
      </c>
      <c r="D67" s="1" t="s">
        <v>541</v>
      </c>
      <c r="E67" s="1" t="s">
        <v>42</v>
      </c>
      <c r="F67" s="1" t="s">
        <v>417</v>
      </c>
      <c r="G67" s="1" t="s">
        <v>542</v>
      </c>
      <c r="H67" s="1" t="s">
        <v>544</v>
      </c>
      <c r="I67" s="1" t="s">
        <v>21</v>
      </c>
      <c r="J67" s="1" t="s">
        <v>545</v>
      </c>
      <c r="K67" s="2">
        <v>-68.8421367</v>
      </c>
      <c r="L67" s="2">
        <v>-32.89155</v>
      </c>
    </row>
    <row r="68">
      <c r="B68" s="1" t="s">
        <v>248</v>
      </c>
      <c r="C68" s="1">
        <v>14.0</v>
      </c>
      <c r="D68" s="1" t="s">
        <v>548</v>
      </c>
      <c r="E68" s="1" t="s">
        <v>42</v>
      </c>
      <c r="F68" s="1" t="s">
        <v>417</v>
      </c>
      <c r="G68" s="1" t="s">
        <v>549</v>
      </c>
      <c r="H68" s="1" t="s">
        <v>550</v>
      </c>
      <c r="I68" s="1" t="s">
        <v>21</v>
      </c>
      <c r="J68" s="1" t="s">
        <v>552</v>
      </c>
      <c r="K68" s="2">
        <v>-68.8458386</v>
      </c>
      <c r="L68" s="2">
        <v>-32.8894587</v>
      </c>
    </row>
    <row r="69">
      <c r="D69" s="1" t="s">
        <v>554</v>
      </c>
      <c r="E69" s="1" t="s">
        <v>42</v>
      </c>
      <c r="F69" s="1" t="s">
        <v>417</v>
      </c>
      <c r="G69" s="1" t="s">
        <v>555</v>
      </c>
      <c r="I69" s="1" t="s">
        <v>21</v>
      </c>
      <c r="J69" s="1" t="s">
        <v>556</v>
      </c>
      <c r="K69" s="2">
        <v>-68.84146319999999</v>
      </c>
      <c r="L69" s="2">
        <v>-32.8877819</v>
      </c>
    </row>
    <row r="70">
      <c r="D70" s="1" t="s">
        <v>559</v>
      </c>
      <c r="E70" s="1" t="s">
        <v>42</v>
      </c>
      <c r="F70" s="1" t="s">
        <v>417</v>
      </c>
      <c r="G70" s="1" t="s">
        <v>561</v>
      </c>
      <c r="I70" s="1" t="s">
        <v>21</v>
      </c>
      <c r="J70" s="1" t="s">
        <v>562</v>
      </c>
      <c r="K70" s="2">
        <v>-68.843958</v>
      </c>
      <c r="L70" s="2">
        <v>-32.8858649</v>
      </c>
    </row>
    <row r="71">
      <c r="A71" s="1">
        <v>1610.0</v>
      </c>
      <c r="D71" s="1" t="s">
        <v>565</v>
      </c>
      <c r="E71" s="1" t="s">
        <v>42</v>
      </c>
      <c r="F71" s="1" t="s">
        <v>567</v>
      </c>
      <c r="G71" s="1" t="s">
        <v>569</v>
      </c>
      <c r="I71" s="1" t="s">
        <v>21</v>
      </c>
      <c r="J71" s="1" t="s">
        <v>570</v>
      </c>
      <c r="K71" s="2">
        <v>-68.8395215</v>
      </c>
      <c r="L71" s="2">
        <v>-32.8901412</v>
      </c>
    </row>
    <row r="72">
      <c r="A72" s="1">
        <v>1620.0</v>
      </c>
      <c r="D72" s="1" t="s">
        <v>572</v>
      </c>
      <c r="E72" s="1" t="s">
        <v>42</v>
      </c>
      <c r="F72" s="1" t="s">
        <v>567</v>
      </c>
      <c r="G72" s="1" t="s">
        <v>574</v>
      </c>
      <c r="I72" s="1" t="s">
        <v>21</v>
      </c>
      <c r="J72" s="1" t="s">
        <v>575</v>
      </c>
      <c r="K72" s="2">
        <v>-68.83888519999999</v>
      </c>
      <c r="L72" s="2">
        <v>-32.8877597</v>
      </c>
    </row>
    <row r="73">
      <c r="A73" s="1">
        <v>36.0</v>
      </c>
      <c r="B73" s="1" t="s">
        <v>12</v>
      </c>
      <c r="C73" s="1">
        <v>8.0</v>
      </c>
      <c r="D73" s="1" t="s">
        <v>577</v>
      </c>
      <c r="E73" s="1" t="s">
        <v>42</v>
      </c>
      <c r="F73" s="1" t="s">
        <v>579</v>
      </c>
      <c r="G73" s="1" t="s">
        <v>580</v>
      </c>
      <c r="H73" s="1" t="s">
        <v>580</v>
      </c>
      <c r="I73" s="1" t="s">
        <v>21</v>
      </c>
      <c r="J73" s="1" t="s">
        <v>582</v>
      </c>
      <c r="K73" s="2">
        <v>-68.858952</v>
      </c>
      <c r="L73" s="2">
        <v>-32.883378</v>
      </c>
    </row>
    <row r="74">
      <c r="A74" s="1">
        <v>44.0</v>
      </c>
      <c r="B74" s="1" t="s">
        <v>12</v>
      </c>
      <c r="C74" s="1">
        <v>9.0</v>
      </c>
      <c r="D74" s="1" t="s">
        <v>584</v>
      </c>
      <c r="E74" s="1" t="s">
        <v>42</v>
      </c>
      <c r="F74" s="1" t="s">
        <v>579</v>
      </c>
      <c r="G74" s="1" t="s">
        <v>585</v>
      </c>
      <c r="H74" s="1" t="s">
        <v>585</v>
      </c>
      <c r="I74" s="1" t="s">
        <v>21</v>
      </c>
      <c r="J74" s="1" t="s">
        <v>587</v>
      </c>
      <c r="K74" s="2">
        <v>-68.8582557</v>
      </c>
      <c r="L74" s="2">
        <v>-32.8838191</v>
      </c>
    </row>
    <row r="75">
      <c r="A75" s="1">
        <v>315.0</v>
      </c>
      <c r="B75" s="1" t="s">
        <v>51</v>
      </c>
      <c r="C75" s="1">
        <v>5.0</v>
      </c>
      <c r="D75" s="1" t="s">
        <v>590</v>
      </c>
      <c r="E75" s="1" t="s">
        <v>42</v>
      </c>
      <c r="F75" s="1" t="s">
        <v>579</v>
      </c>
      <c r="G75" s="1" t="s">
        <v>591</v>
      </c>
      <c r="H75" s="1" t="s">
        <v>591</v>
      </c>
      <c r="I75" s="1" t="s">
        <v>21</v>
      </c>
      <c r="J75" s="1" t="s">
        <v>593</v>
      </c>
      <c r="K75" s="2">
        <v>-68.84000449999999</v>
      </c>
      <c r="L75" s="2">
        <v>-32.890499</v>
      </c>
    </row>
    <row r="76">
      <c r="A76" s="1">
        <v>370.0</v>
      </c>
      <c r="B76" s="1" t="s">
        <v>24</v>
      </c>
      <c r="C76" s="1">
        <v>1.0</v>
      </c>
      <c r="D76" s="1" t="s">
        <v>595</v>
      </c>
      <c r="E76" s="1" t="s">
        <v>42</v>
      </c>
      <c r="F76" s="1" t="s">
        <v>579</v>
      </c>
      <c r="G76" s="1" t="s">
        <v>597</v>
      </c>
      <c r="H76" s="1" t="s">
        <v>598</v>
      </c>
      <c r="I76" s="1" t="s">
        <v>21</v>
      </c>
      <c r="J76" s="1" t="s">
        <v>599</v>
      </c>
      <c r="K76" s="2">
        <v>-68.8526787</v>
      </c>
      <c r="L76" s="2">
        <v>-32.8925772</v>
      </c>
    </row>
    <row r="77">
      <c r="A77" s="1">
        <v>406.0</v>
      </c>
      <c r="B77" s="1" t="s">
        <v>24</v>
      </c>
      <c r="C77" s="1">
        <v>4.0</v>
      </c>
      <c r="D77" s="1" t="s">
        <v>601</v>
      </c>
      <c r="E77" s="1" t="s">
        <v>42</v>
      </c>
      <c r="F77" s="1" t="s">
        <v>579</v>
      </c>
      <c r="G77" s="1" t="s">
        <v>604</v>
      </c>
      <c r="H77" s="1" t="s">
        <v>604</v>
      </c>
      <c r="I77" s="1" t="s">
        <v>21</v>
      </c>
      <c r="J77" s="1" t="s">
        <v>605</v>
      </c>
      <c r="K77" s="2">
        <v>-68.8579362</v>
      </c>
      <c r="L77" s="2">
        <v>-32.8915822</v>
      </c>
    </row>
    <row r="78">
      <c r="A78" s="1">
        <v>418.0</v>
      </c>
      <c r="B78" s="1" t="s">
        <v>24</v>
      </c>
      <c r="C78" s="1">
        <v>7.0</v>
      </c>
      <c r="D78" s="1" t="s">
        <v>607</v>
      </c>
      <c r="E78" s="1" t="s">
        <v>42</v>
      </c>
      <c r="F78" s="1" t="s">
        <v>579</v>
      </c>
      <c r="G78" s="1" t="s">
        <v>609</v>
      </c>
      <c r="H78" s="1" t="s">
        <v>611</v>
      </c>
      <c r="I78" s="1" t="s">
        <v>21</v>
      </c>
      <c r="J78" s="1" t="s">
        <v>612</v>
      </c>
      <c r="K78" s="2">
        <v>-68.860854</v>
      </c>
      <c r="L78" s="2">
        <v>-32.8910611</v>
      </c>
    </row>
    <row r="79">
      <c r="A79" s="1">
        <v>421.0</v>
      </c>
      <c r="B79" s="1" t="s">
        <v>24</v>
      </c>
      <c r="C79" s="1">
        <v>7.0</v>
      </c>
      <c r="D79" s="1" t="s">
        <v>614</v>
      </c>
      <c r="E79" s="1" t="s">
        <v>42</v>
      </c>
      <c r="F79" s="1" t="s">
        <v>579</v>
      </c>
      <c r="G79" s="1" t="s">
        <v>616</v>
      </c>
      <c r="H79" s="1" t="s">
        <v>617</v>
      </c>
      <c r="I79" s="1" t="s">
        <v>21</v>
      </c>
      <c r="J79" s="1" t="s">
        <v>619</v>
      </c>
      <c r="K79" s="2">
        <v>-68.86106389999999</v>
      </c>
      <c r="L79" s="2">
        <v>-32.8910383</v>
      </c>
    </row>
    <row r="80">
      <c r="A80" s="1">
        <v>441.0</v>
      </c>
      <c r="B80" s="1" t="s">
        <v>24</v>
      </c>
      <c r="C80" s="1">
        <v>10.0</v>
      </c>
      <c r="D80" s="1" t="s">
        <v>621</v>
      </c>
      <c r="E80" s="1" t="s">
        <v>42</v>
      </c>
      <c r="F80" s="1" t="s">
        <v>579</v>
      </c>
      <c r="G80" s="1" t="s">
        <v>623</v>
      </c>
      <c r="H80" s="1" t="s">
        <v>624</v>
      </c>
      <c r="I80" s="1" t="s">
        <v>21</v>
      </c>
      <c r="J80" s="1" t="s">
        <v>626</v>
      </c>
      <c r="K80" s="2">
        <v>-68.857405</v>
      </c>
      <c r="L80" s="2">
        <v>-32.892058</v>
      </c>
    </row>
    <row r="81">
      <c r="A81" s="1">
        <v>461.0</v>
      </c>
      <c r="B81" s="1" t="s">
        <v>24</v>
      </c>
      <c r="C81" s="1">
        <v>12.0</v>
      </c>
      <c r="D81" s="1" t="s">
        <v>628</v>
      </c>
      <c r="E81" s="1" t="s">
        <v>42</v>
      </c>
      <c r="F81" s="1" t="s">
        <v>579</v>
      </c>
      <c r="G81" s="1" t="s">
        <v>631</v>
      </c>
      <c r="H81" s="1" t="s">
        <v>631</v>
      </c>
      <c r="I81" s="1" t="s">
        <v>21</v>
      </c>
      <c r="J81" s="1" t="s">
        <v>633</v>
      </c>
      <c r="K81" s="2">
        <v>-68.8539519</v>
      </c>
      <c r="L81" s="2">
        <v>-32.8926264</v>
      </c>
    </row>
    <row r="82">
      <c r="A82" s="1">
        <v>476.0</v>
      </c>
      <c r="B82" s="1" t="s">
        <v>24</v>
      </c>
      <c r="C82" s="1">
        <v>13.0</v>
      </c>
      <c r="D82" s="1" t="s">
        <v>634</v>
      </c>
      <c r="E82" s="1" t="s">
        <v>42</v>
      </c>
      <c r="F82" s="1" t="s">
        <v>579</v>
      </c>
      <c r="G82" s="1" t="s">
        <v>636</v>
      </c>
      <c r="H82" s="1" t="s">
        <v>636</v>
      </c>
      <c r="I82" s="1" t="s">
        <v>21</v>
      </c>
      <c r="J82" s="1" t="s">
        <v>638</v>
      </c>
      <c r="K82" s="2">
        <v>-68.85200549999999</v>
      </c>
      <c r="L82" s="2">
        <v>-32.8929765</v>
      </c>
    </row>
    <row r="83">
      <c r="A83" s="1">
        <v>567.0</v>
      </c>
      <c r="B83" s="1" t="s">
        <v>109</v>
      </c>
      <c r="C83" s="1">
        <v>8.0</v>
      </c>
      <c r="D83" s="1" t="s">
        <v>639</v>
      </c>
      <c r="E83" s="1" t="s">
        <v>42</v>
      </c>
      <c r="F83" s="1" t="s">
        <v>579</v>
      </c>
      <c r="G83" s="1" t="s">
        <v>640</v>
      </c>
      <c r="H83" s="1" t="s">
        <v>641</v>
      </c>
      <c r="I83" s="1" t="s">
        <v>21</v>
      </c>
      <c r="J83" s="1" t="s">
        <v>643</v>
      </c>
      <c r="K83" s="2">
        <v>-68.8379972</v>
      </c>
      <c r="L83" s="2">
        <v>-32.8849071</v>
      </c>
    </row>
    <row r="84">
      <c r="A84" s="1">
        <v>579.0</v>
      </c>
      <c r="B84" s="1" t="s">
        <v>109</v>
      </c>
      <c r="C84" s="1">
        <v>9.0</v>
      </c>
      <c r="D84" s="1" t="s">
        <v>645</v>
      </c>
      <c r="E84" s="1" t="s">
        <v>42</v>
      </c>
      <c r="F84" s="1" t="s">
        <v>579</v>
      </c>
      <c r="G84" s="1" t="s">
        <v>647</v>
      </c>
      <c r="H84" s="1" t="s">
        <v>647</v>
      </c>
      <c r="I84" s="1" t="s">
        <v>21</v>
      </c>
      <c r="J84" s="1" t="s">
        <v>649</v>
      </c>
      <c r="K84" s="2">
        <v>-68.8383356</v>
      </c>
      <c r="L84" s="2">
        <v>-32.8856267</v>
      </c>
    </row>
    <row r="85">
      <c r="A85" s="1">
        <v>728.0</v>
      </c>
      <c r="B85" s="1" t="s">
        <v>36</v>
      </c>
      <c r="C85" s="1">
        <v>10.0</v>
      </c>
      <c r="D85" s="1" t="s">
        <v>651</v>
      </c>
      <c r="E85" s="1" t="s">
        <v>42</v>
      </c>
      <c r="F85" s="1" t="s">
        <v>579</v>
      </c>
      <c r="G85" s="1" t="s">
        <v>653</v>
      </c>
      <c r="H85" s="1" t="s">
        <v>653</v>
      </c>
      <c r="I85" s="1" t="s">
        <v>21</v>
      </c>
      <c r="J85" s="1" t="s">
        <v>655</v>
      </c>
      <c r="K85" s="2">
        <v>-68.8387311</v>
      </c>
      <c r="L85" s="2">
        <v>-32.8742072</v>
      </c>
    </row>
    <row r="86">
      <c r="A86" s="1">
        <v>761.0</v>
      </c>
      <c r="B86" s="1" t="s">
        <v>36</v>
      </c>
      <c r="C86" s="1">
        <v>13.0</v>
      </c>
      <c r="D86" s="1" t="s">
        <v>657</v>
      </c>
      <c r="E86" s="1" t="s">
        <v>42</v>
      </c>
      <c r="F86" s="1" t="s">
        <v>579</v>
      </c>
      <c r="G86" s="1" t="s">
        <v>658</v>
      </c>
      <c r="H86" s="1" t="s">
        <v>658</v>
      </c>
      <c r="I86" s="1" t="s">
        <v>21</v>
      </c>
      <c r="J86" s="1" t="s">
        <v>660</v>
      </c>
      <c r="K86" s="2">
        <v>-68.8370466</v>
      </c>
      <c r="L86" s="2">
        <v>-32.8814071</v>
      </c>
    </row>
    <row r="87">
      <c r="A87" s="1">
        <v>930.0</v>
      </c>
      <c r="B87" s="1" t="s">
        <v>55</v>
      </c>
      <c r="C87" s="1">
        <v>14.0</v>
      </c>
      <c r="D87" s="1" t="s">
        <v>663</v>
      </c>
      <c r="E87" s="1" t="s">
        <v>42</v>
      </c>
      <c r="F87" s="1" t="s">
        <v>579</v>
      </c>
      <c r="G87" s="1" t="s">
        <v>664</v>
      </c>
      <c r="H87" s="1" t="s">
        <v>665</v>
      </c>
      <c r="I87" s="1" t="s">
        <v>21</v>
      </c>
      <c r="J87" s="1" t="s">
        <v>666</v>
      </c>
      <c r="K87" s="2">
        <v>-68.841493</v>
      </c>
      <c r="L87" s="2">
        <v>-32.885866</v>
      </c>
    </row>
    <row r="88">
      <c r="A88" s="1">
        <v>992.0</v>
      </c>
      <c r="B88" s="1" t="s">
        <v>62</v>
      </c>
      <c r="C88" s="1">
        <v>4.0</v>
      </c>
      <c r="D88" s="1" t="s">
        <v>669</v>
      </c>
      <c r="E88" s="1" t="s">
        <v>42</v>
      </c>
      <c r="F88" s="1" t="s">
        <v>579</v>
      </c>
      <c r="G88" s="1" t="s">
        <v>670</v>
      </c>
      <c r="H88" s="1" t="s">
        <v>670</v>
      </c>
      <c r="I88" s="1" t="s">
        <v>21</v>
      </c>
      <c r="J88" s="1" t="s">
        <v>671</v>
      </c>
      <c r="K88" s="2">
        <v>-68.84464840000001</v>
      </c>
      <c r="L88" s="2">
        <v>-32.8940577</v>
      </c>
    </row>
    <row r="89">
      <c r="A89" s="1">
        <v>1035.0</v>
      </c>
      <c r="B89" s="1" t="s">
        <v>62</v>
      </c>
      <c r="C89" s="1">
        <v>10.0</v>
      </c>
      <c r="D89" s="1" t="s">
        <v>674</v>
      </c>
      <c r="E89" s="1" t="s">
        <v>42</v>
      </c>
      <c r="F89" s="1" t="s">
        <v>579</v>
      </c>
      <c r="G89" s="1" t="s">
        <v>676</v>
      </c>
      <c r="H89" s="1" t="s">
        <v>676</v>
      </c>
      <c r="I89" s="1" t="s">
        <v>21</v>
      </c>
      <c r="J89" s="1" t="s">
        <v>679</v>
      </c>
      <c r="K89" s="2">
        <v>-68.8493259</v>
      </c>
      <c r="L89" s="2">
        <v>-32.893473</v>
      </c>
    </row>
    <row r="90">
      <c r="A90" s="1">
        <v>1042.0</v>
      </c>
      <c r="B90" s="1" t="s">
        <v>62</v>
      </c>
      <c r="C90" s="1">
        <v>10.0</v>
      </c>
      <c r="D90" s="1" t="s">
        <v>682</v>
      </c>
      <c r="E90" s="1" t="s">
        <v>42</v>
      </c>
      <c r="F90" s="1" t="s">
        <v>579</v>
      </c>
      <c r="G90" s="1" t="s">
        <v>686</v>
      </c>
      <c r="H90" s="1" t="s">
        <v>687</v>
      </c>
      <c r="I90" s="1" t="s">
        <v>21</v>
      </c>
      <c r="J90" s="1" t="s">
        <v>688</v>
      </c>
      <c r="K90" s="2">
        <v>-68.8486818</v>
      </c>
      <c r="L90" s="2">
        <v>-32.8936297</v>
      </c>
    </row>
    <row r="91">
      <c r="A91" s="1">
        <v>1053.0</v>
      </c>
      <c r="B91" s="1" t="s">
        <v>62</v>
      </c>
      <c r="C91" s="1">
        <v>12.0</v>
      </c>
      <c r="D91" s="1" t="s">
        <v>691</v>
      </c>
      <c r="E91" s="1" t="s">
        <v>42</v>
      </c>
      <c r="F91" s="1" t="s">
        <v>579</v>
      </c>
      <c r="G91" s="1" t="s">
        <v>692</v>
      </c>
      <c r="H91" s="1" t="s">
        <v>692</v>
      </c>
      <c r="I91" s="1" t="s">
        <v>21</v>
      </c>
      <c r="J91" s="1" t="s">
        <v>693</v>
      </c>
      <c r="K91" s="2">
        <v>-68.84720709999999</v>
      </c>
      <c r="L91" s="2">
        <v>-32.8938787</v>
      </c>
    </row>
    <row r="92">
      <c r="B92" s="1" t="s">
        <v>62</v>
      </c>
      <c r="C92" s="1">
        <v>13.0</v>
      </c>
      <c r="D92" s="1" t="s">
        <v>694</v>
      </c>
      <c r="E92" s="1" t="s">
        <v>42</v>
      </c>
      <c r="F92" s="1" t="s">
        <v>579</v>
      </c>
      <c r="G92" s="1" t="s">
        <v>695</v>
      </c>
      <c r="H92" s="1" t="s">
        <v>695</v>
      </c>
      <c r="I92" s="1" t="s">
        <v>21</v>
      </c>
      <c r="J92" s="1" t="s">
        <v>697</v>
      </c>
      <c r="K92" s="2">
        <v>-68.8452341</v>
      </c>
      <c r="L92" s="2">
        <v>-32.8942661</v>
      </c>
    </row>
    <row r="93">
      <c r="A93" s="1">
        <v>1125.0</v>
      </c>
      <c r="B93" s="1" t="s">
        <v>120</v>
      </c>
      <c r="C93" s="1">
        <v>2.0</v>
      </c>
      <c r="D93" s="1" t="s">
        <v>700</v>
      </c>
      <c r="E93" s="1" t="s">
        <v>42</v>
      </c>
      <c r="F93" s="1" t="s">
        <v>579</v>
      </c>
      <c r="G93" s="1" t="s">
        <v>702</v>
      </c>
      <c r="H93" s="1" t="s">
        <v>702</v>
      </c>
      <c r="I93" s="1" t="s">
        <v>21</v>
      </c>
      <c r="J93" s="1" t="s">
        <v>704</v>
      </c>
      <c r="K93" s="2">
        <v>-68.841246</v>
      </c>
      <c r="L93" s="2">
        <v>-32.8889889</v>
      </c>
    </row>
    <row r="94">
      <c r="A94" s="1">
        <v>1141.0</v>
      </c>
      <c r="B94" s="1" t="s">
        <v>120</v>
      </c>
      <c r="C94" s="1">
        <v>4.0</v>
      </c>
      <c r="D94" s="1" t="s">
        <v>706</v>
      </c>
      <c r="E94" s="1" t="s">
        <v>42</v>
      </c>
      <c r="F94" s="1" t="s">
        <v>579</v>
      </c>
      <c r="G94" s="1" t="s">
        <v>708</v>
      </c>
      <c r="H94" s="1" t="s">
        <v>708</v>
      </c>
      <c r="I94" s="1" t="s">
        <v>21</v>
      </c>
      <c r="J94" s="1" t="s">
        <v>710</v>
      </c>
      <c r="K94" s="2">
        <v>-68.8428433</v>
      </c>
      <c r="L94" s="2">
        <v>-32.8890163</v>
      </c>
    </row>
    <row r="95">
      <c r="A95" s="1">
        <v>1210.0</v>
      </c>
      <c r="B95" s="1" t="s">
        <v>227</v>
      </c>
      <c r="C95" s="1">
        <v>3.0</v>
      </c>
      <c r="D95" s="1" t="s">
        <v>714</v>
      </c>
      <c r="E95" s="1" t="s">
        <v>42</v>
      </c>
      <c r="F95" s="1" t="s">
        <v>579</v>
      </c>
      <c r="G95" s="1" t="s">
        <v>716</v>
      </c>
      <c r="H95" s="1" t="s">
        <v>716</v>
      </c>
      <c r="I95" s="1" t="s">
        <v>21</v>
      </c>
      <c r="J95" s="1" t="s">
        <v>717</v>
      </c>
      <c r="K95" s="2">
        <v>-68.8294097</v>
      </c>
      <c r="L95" s="2">
        <v>-32.8888914</v>
      </c>
    </row>
    <row r="96">
      <c r="A96" s="1">
        <v>1284.0</v>
      </c>
      <c r="B96" s="1" t="s">
        <v>248</v>
      </c>
      <c r="C96" s="1">
        <v>7.0</v>
      </c>
      <c r="D96" s="1" t="s">
        <v>720</v>
      </c>
      <c r="E96" s="1" t="s">
        <v>42</v>
      </c>
      <c r="F96" s="1" t="s">
        <v>579</v>
      </c>
      <c r="G96" s="1" t="s">
        <v>722</v>
      </c>
      <c r="H96" s="1" t="s">
        <v>722</v>
      </c>
      <c r="I96" s="1" t="s">
        <v>21</v>
      </c>
      <c r="J96" s="1" t="s">
        <v>724</v>
      </c>
      <c r="K96" s="2">
        <v>-68.8420336</v>
      </c>
      <c r="L96" s="2">
        <v>-32.89297640000001</v>
      </c>
    </row>
    <row r="97">
      <c r="A97" s="1">
        <v>1294.0</v>
      </c>
      <c r="B97" s="1" t="s">
        <v>248</v>
      </c>
      <c r="C97" s="1">
        <v>8.0</v>
      </c>
      <c r="D97" s="1" t="s">
        <v>725</v>
      </c>
      <c r="E97" s="1" t="s">
        <v>42</v>
      </c>
      <c r="F97" s="1" t="s">
        <v>579</v>
      </c>
      <c r="G97" s="1" t="s">
        <v>726</v>
      </c>
      <c r="H97" s="1" t="s">
        <v>726</v>
      </c>
      <c r="I97" s="1" t="s">
        <v>21</v>
      </c>
      <c r="J97" s="1" t="s">
        <v>727</v>
      </c>
      <c r="K97" s="2">
        <v>-68.8458386</v>
      </c>
      <c r="L97" s="2">
        <v>-32.8894587</v>
      </c>
    </row>
    <row r="98">
      <c r="A98" s="1">
        <v>1306.0</v>
      </c>
      <c r="B98" s="1" t="s">
        <v>248</v>
      </c>
      <c r="C98" s="1">
        <v>10.0</v>
      </c>
      <c r="D98" s="1" t="s">
        <v>730</v>
      </c>
      <c r="E98" s="1" t="s">
        <v>42</v>
      </c>
      <c r="F98" s="1" t="s">
        <v>579</v>
      </c>
      <c r="G98" s="1" t="s">
        <v>731</v>
      </c>
      <c r="H98" s="1" t="s">
        <v>731</v>
      </c>
      <c r="I98" s="1" t="s">
        <v>21</v>
      </c>
      <c r="J98" s="1" t="s">
        <v>732</v>
      </c>
      <c r="K98" s="2">
        <v>-68.8458386</v>
      </c>
      <c r="L98" s="2">
        <v>-32.8894587</v>
      </c>
    </row>
    <row r="99">
      <c r="A99" s="1">
        <v>1309.0</v>
      </c>
      <c r="B99" s="1" t="s">
        <v>248</v>
      </c>
      <c r="C99" s="1">
        <v>10.0</v>
      </c>
      <c r="D99" s="1" t="s">
        <v>63</v>
      </c>
      <c r="E99" s="1" t="s">
        <v>42</v>
      </c>
      <c r="F99" s="1" t="s">
        <v>579</v>
      </c>
      <c r="G99" s="1" t="s">
        <v>735</v>
      </c>
      <c r="H99" s="1" t="s">
        <v>735</v>
      </c>
      <c r="I99" s="1" t="s">
        <v>21</v>
      </c>
      <c r="J99" s="1" t="s">
        <v>737</v>
      </c>
      <c r="K99" s="2">
        <v>-68.84185719999999</v>
      </c>
      <c r="L99" s="2">
        <v>-32.8906599</v>
      </c>
    </row>
    <row r="100">
      <c r="A100" s="1">
        <v>1364.0</v>
      </c>
      <c r="D100" s="1" t="s">
        <v>738</v>
      </c>
      <c r="E100" s="1" t="s">
        <v>42</v>
      </c>
      <c r="F100" s="1" t="s">
        <v>579</v>
      </c>
      <c r="G100" s="1" t="s">
        <v>740</v>
      </c>
      <c r="I100" s="1" t="s">
        <v>21</v>
      </c>
      <c r="J100" s="1" t="s">
        <v>742</v>
      </c>
      <c r="K100" s="2">
        <v>-68.839337</v>
      </c>
      <c r="L100" s="2">
        <v>-32.8876939</v>
      </c>
    </row>
    <row r="101">
      <c r="A101" s="1">
        <v>1367.0</v>
      </c>
      <c r="D101" s="1" t="s">
        <v>744</v>
      </c>
      <c r="E101" s="1" t="s">
        <v>42</v>
      </c>
      <c r="F101" s="1" t="s">
        <v>579</v>
      </c>
      <c r="G101" s="1" t="s">
        <v>745</v>
      </c>
      <c r="I101" s="1" t="s">
        <v>21</v>
      </c>
      <c r="J101" s="1" t="s">
        <v>747</v>
      </c>
      <c r="K101" s="2">
        <v>-68.83888499999999</v>
      </c>
      <c r="L101" s="2">
        <v>-32.8878402</v>
      </c>
    </row>
    <row r="102">
      <c r="A102" s="1">
        <v>1467.0</v>
      </c>
      <c r="D102" s="1" t="s">
        <v>750</v>
      </c>
      <c r="E102" s="1" t="s">
        <v>42</v>
      </c>
      <c r="F102" s="1" t="s">
        <v>579</v>
      </c>
      <c r="G102" s="1" t="s">
        <v>751</v>
      </c>
      <c r="I102" s="1" t="s">
        <v>21</v>
      </c>
      <c r="J102" s="1" t="s">
        <v>752</v>
      </c>
      <c r="K102" s="2">
        <v>-68.838724</v>
      </c>
      <c r="L102" s="2">
        <v>-32.889123</v>
      </c>
    </row>
    <row r="103">
      <c r="A103" s="1">
        <v>1485.0</v>
      </c>
      <c r="D103" s="1" t="s">
        <v>755</v>
      </c>
      <c r="E103" s="1" t="s">
        <v>42</v>
      </c>
      <c r="F103" s="1" t="s">
        <v>579</v>
      </c>
      <c r="G103" s="1" t="s">
        <v>756</v>
      </c>
      <c r="I103" s="1" t="s">
        <v>21</v>
      </c>
      <c r="J103" s="1" t="s">
        <v>758</v>
      </c>
      <c r="K103" s="2">
        <v>-68.8397562</v>
      </c>
      <c r="L103" s="2">
        <v>-32.8883349</v>
      </c>
    </row>
    <row r="104">
      <c r="A104" s="1">
        <v>1486.0</v>
      </c>
      <c r="D104" s="1" t="s">
        <v>761</v>
      </c>
      <c r="E104" s="1" t="s">
        <v>42</v>
      </c>
      <c r="F104" s="1" t="s">
        <v>579</v>
      </c>
      <c r="G104" s="1" t="s">
        <v>763</v>
      </c>
      <c r="I104" s="1" t="s">
        <v>21</v>
      </c>
      <c r="J104" s="1" t="s">
        <v>765</v>
      </c>
      <c r="K104" s="2">
        <v>-68.838724</v>
      </c>
      <c r="L104" s="2">
        <v>-32.889123</v>
      </c>
    </row>
    <row r="105">
      <c r="A105" s="1">
        <v>1491.0</v>
      </c>
      <c r="D105" s="1" t="s">
        <v>767</v>
      </c>
      <c r="E105" s="1" t="s">
        <v>42</v>
      </c>
      <c r="F105" s="1" t="s">
        <v>579</v>
      </c>
      <c r="G105" s="1" t="s">
        <v>769</v>
      </c>
      <c r="I105" s="1" t="s">
        <v>21</v>
      </c>
      <c r="J105" s="1" t="s">
        <v>770</v>
      </c>
      <c r="K105" s="2">
        <v>-68.8387972</v>
      </c>
      <c r="L105" s="2">
        <v>-32.8892224</v>
      </c>
    </row>
    <row r="106">
      <c r="A106" s="1">
        <v>1492.0</v>
      </c>
      <c r="D106" s="1" t="s">
        <v>772</v>
      </c>
      <c r="E106" s="1" t="s">
        <v>42</v>
      </c>
      <c r="F106" s="1" t="s">
        <v>579</v>
      </c>
      <c r="G106" s="1" t="s">
        <v>774</v>
      </c>
      <c r="I106" s="1" t="s">
        <v>21</v>
      </c>
      <c r="J106" s="1" t="s">
        <v>775</v>
      </c>
      <c r="K106" s="2">
        <v>-68.838724</v>
      </c>
      <c r="L106" s="2">
        <v>-32.889123</v>
      </c>
    </row>
    <row r="107">
      <c r="A107" s="1">
        <v>1493.0</v>
      </c>
      <c r="D107" s="1" t="s">
        <v>777</v>
      </c>
      <c r="E107" s="1" t="s">
        <v>42</v>
      </c>
      <c r="F107" s="1" t="s">
        <v>579</v>
      </c>
      <c r="G107" s="1" t="s">
        <v>779</v>
      </c>
      <c r="I107" s="1" t="s">
        <v>21</v>
      </c>
      <c r="J107" s="1" t="s">
        <v>781</v>
      </c>
      <c r="K107" s="2">
        <v>-68.838724</v>
      </c>
      <c r="L107" s="2">
        <v>-32.889123</v>
      </c>
    </row>
    <row r="108">
      <c r="A108" s="1">
        <v>1496.0</v>
      </c>
      <c r="D108" s="1" t="s">
        <v>784</v>
      </c>
      <c r="E108" s="1" t="s">
        <v>42</v>
      </c>
      <c r="F108" s="1" t="s">
        <v>579</v>
      </c>
      <c r="G108" s="1" t="s">
        <v>787</v>
      </c>
      <c r="I108" s="1" t="s">
        <v>21</v>
      </c>
      <c r="J108" s="1" t="s">
        <v>789</v>
      </c>
      <c r="K108" s="2">
        <v>-68.838724</v>
      </c>
      <c r="L108" s="2">
        <v>-32.889123</v>
      </c>
    </row>
    <row r="109">
      <c r="A109" s="1">
        <v>1499.0</v>
      </c>
      <c r="D109" s="1" t="s">
        <v>792</v>
      </c>
      <c r="E109" s="1" t="s">
        <v>42</v>
      </c>
      <c r="F109" s="1" t="s">
        <v>579</v>
      </c>
      <c r="G109" s="1" t="s">
        <v>795</v>
      </c>
      <c r="I109" s="1" t="s">
        <v>21</v>
      </c>
      <c r="J109" s="1" t="s">
        <v>796</v>
      </c>
      <c r="K109" s="2">
        <v>-68.83864230000002</v>
      </c>
      <c r="L109" s="2">
        <v>-32.8891603</v>
      </c>
    </row>
    <row r="110">
      <c r="A110" s="1">
        <v>1504.0</v>
      </c>
      <c r="D110" s="1" t="s">
        <v>800</v>
      </c>
      <c r="E110" s="1" t="s">
        <v>42</v>
      </c>
      <c r="F110" s="1" t="s">
        <v>579</v>
      </c>
      <c r="G110" s="1" t="s">
        <v>802</v>
      </c>
      <c r="I110" s="1" t="s">
        <v>21</v>
      </c>
      <c r="J110" s="1" t="s">
        <v>806</v>
      </c>
      <c r="K110" s="2">
        <v>-68.838724</v>
      </c>
      <c r="L110" s="2">
        <v>-32.889123</v>
      </c>
    </row>
    <row r="111">
      <c r="A111" s="1">
        <v>1586.0</v>
      </c>
      <c r="D111" s="1" t="s">
        <v>809</v>
      </c>
      <c r="E111" s="1" t="s">
        <v>42</v>
      </c>
      <c r="F111" s="1" t="s">
        <v>579</v>
      </c>
      <c r="G111" s="1" t="s">
        <v>811</v>
      </c>
      <c r="I111" s="1" t="s">
        <v>21</v>
      </c>
      <c r="J111" s="1" t="s">
        <v>812</v>
      </c>
      <c r="K111" s="2">
        <v>-68.83892829999999</v>
      </c>
      <c r="L111" s="2">
        <v>-32.8897494</v>
      </c>
    </row>
    <row r="112">
      <c r="A112" s="1">
        <v>225.0</v>
      </c>
      <c r="B112" s="1" t="s">
        <v>29</v>
      </c>
      <c r="C112" s="1">
        <v>12.0</v>
      </c>
      <c r="D112" s="1" t="s">
        <v>816</v>
      </c>
      <c r="E112" s="1" t="s">
        <v>42</v>
      </c>
      <c r="F112" s="1" t="s">
        <v>818</v>
      </c>
      <c r="G112" s="3" t="s">
        <v>823</v>
      </c>
      <c r="H112" s="3" t="s">
        <v>823</v>
      </c>
      <c r="I112" s="1" t="s">
        <v>21</v>
      </c>
      <c r="J112" s="1" t="s">
        <v>827</v>
      </c>
      <c r="K112" s="2">
        <v>-68.8402397</v>
      </c>
      <c r="L112" s="2">
        <v>-32.8890849</v>
      </c>
    </row>
    <row r="113">
      <c r="A113" s="1">
        <v>510.0</v>
      </c>
      <c r="B113" s="1" t="s">
        <v>109</v>
      </c>
      <c r="C113" s="1">
        <v>4.0</v>
      </c>
      <c r="D113" s="1" t="s">
        <v>832</v>
      </c>
      <c r="E113" s="1" t="s">
        <v>42</v>
      </c>
      <c r="F113" s="1" t="s">
        <v>818</v>
      </c>
      <c r="G113" s="1" t="s">
        <v>834</v>
      </c>
      <c r="H113" s="1" t="s">
        <v>834</v>
      </c>
      <c r="I113" s="1" t="s">
        <v>21</v>
      </c>
      <c r="J113" s="1" t="s">
        <v>836</v>
      </c>
      <c r="K113" s="2">
        <v>-68.8388482</v>
      </c>
      <c r="L113" s="2">
        <v>-32.889201</v>
      </c>
    </row>
    <row r="114">
      <c r="A114" s="1">
        <v>591.0</v>
      </c>
      <c r="B114" s="1" t="s">
        <v>109</v>
      </c>
      <c r="C114" s="1">
        <v>10.0</v>
      </c>
      <c r="D114" s="1" t="s">
        <v>840</v>
      </c>
      <c r="E114" s="1" t="s">
        <v>42</v>
      </c>
      <c r="F114" s="1" t="s">
        <v>818</v>
      </c>
      <c r="G114" s="1" t="s">
        <v>842</v>
      </c>
      <c r="H114" s="1" t="s">
        <v>842</v>
      </c>
      <c r="I114" s="1" t="s">
        <v>21</v>
      </c>
      <c r="J114" s="1" t="s">
        <v>845</v>
      </c>
      <c r="K114" s="2">
        <v>-68.838726</v>
      </c>
      <c r="L114" s="2">
        <v>-32.887068</v>
      </c>
    </row>
    <row r="115">
      <c r="A115" s="1">
        <v>927.0</v>
      </c>
      <c r="B115" s="1" t="s">
        <v>55</v>
      </c>
      <c r="C115" s="1">
        <v>14.0</v>
      </c>
      <c r="D115" s="1" t="s">
        <v>840</v>
      </c>
      <c r="E115" s="1" t="s">
        <v>42</v>
      </c>
      <c r="F115" s="1" t="s">
        <v>818</v>
      </c>
      <c r="G115" s="1" t="s">
        <v>848</v>
      </c>
      <c r="H115" s="1" t="s">
        <v>848</v>
      </c>
      <c r="I115" s="1" t="s">
        <v>21</v>
      </c>
      <c r="J115" s="1" t="s">
        <v>851</v>
      </c>
      <c r="K115" s="2">
        <v>-68.841432</v>
      </c>
      <c r="L115" s="2">
        <v>-32.8858356</v>
      </c>
    </row>
    <row r="116">
      <c r="A116" s="1">
        <v>1180.0</v>
      </c>
      <c r="B116" s="1" t="s">
        <v>120</v>
      </c>
      <c r="C116" s="1">
        <v>6.0</v>
      </c>
      <c r="D116" s="1" t="s">
        <v>854</v>
      </c>
      <c r="E116" s="1" t="s">
        <v>42</v>
      </c>
      <c r="F116" s="1" t="s">
        <v>818</v>
      </c>
      <c r="G116" s="1" t="s">
        <v>856</v>
      </c>
      <c r="H116" s="1" t="s">
        <v>856</v>
      </c>
      <c r="I116" s="1" t="s">
        <v>21</v>
      </c>
      <c r="J116" s="1" t="s">
        <v>859</v>
      </c>
      <c r="K116" s="2">
        <v>-68.839542</v>
      </c>
      <c r="L116" s="2">
        <v>-32.889624</v>
      </c>
    </row>
    <row r="117">
      <c r="A117" s="1">
        <v>1208.0</v>
      </c>
      <c r="B117" s="1" t="s">
        <v>227</v>
      </c>
      <c r="C117" s="1">
        <v>3.0</v>
      </c>
      <c r="D117" s="1" t="s">
        <v>862</v>
      </c>
      <c r="E117" s="1" t="s">
        <v>42</v>
      </c>
      <c r="F117" s="1" t="s">
        <v>818</v>
      </c>
      <c r="G117" s="1" t="s">
        <v>864</v>
      </c>
      <c r="H117" s="1" t="s">
        <v>864</v>
      </c>
      <c r="I117" s="1" t="s">
        <v>21</v>
      </c>
      <c r="J117" s="1" t="s">
        <v>866</v>
      </c>
      <c r="K117" s="2">
        <v>-68.8188712</v>
      </c>
      <c r="L117" s="2">
        <v>-32.8636206</v>
      </c>
    </row>
    <row r="118">
      <c r="A118" s="1">
        <v>1241.0</v>
      </c>
      <c r="B118" s="1" t="s">
        <v>227</v>
      </c>
      <c r="C118" s="1">
        <v>10.0</v>
      </c>
      <c r="D118" s="1" t="s">
        <v>870</v>
      </c>
      <c r="E118" s="1" t="s">
        <v>42</v>
      </c>
      <c r="F118" s="1" t="s">
        <v>818</v>
      </c>
      <c r="G118" s="1" t="s">
        <v>872</v>
      </c>
      <c r="H118" s="1" t="s">
        <v>872</v>
      </c>
      <c r="I118" s="1" t="s">
        <v>21</v>
      </c>
      <c r="J118" s="1" t="s">
        <v>875</v>
      </c>
      <c r="K118" s="2">
        <v>-68.8383</v>
      </c>
      <c r="L118" s="2">
        <v>-32.884193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6.0</v>
      </c>
      <c r="B2" s="1" t="s">
        <v>12</v>
      </c>
      <c r="C2" s="1">
        <v>1.0</v>
      </c>
      <c r="D2" s="1" t="s">
        <v>14</v>
      </c>
      <c r="E2" s="1" t="s">
        <v>16</v>
      </c>
      <c r="F2" s="1" t="s">
        <v>18</v>
      </c>
      <c r="G2" s="1" t="s">
        <v>20</v>
      </c>
      <c r="H2" s="1" t="s">
        <v>20</v>
      </c>
      <c r="I2" s="1" t="s">
        <v>21</v>
      </c>
      <c r="J2" s="1" t="s">
        <v>23</v>
      </c>
      <c r="K2" s="2">
        <v>-68.849992</v>
      </c>
      <c r="L2" s="2">
        <v>-32.8840069</v>
      </c>
    </row>
    <row r="3">
      <c r="A3" s="1">
        <v>405.0</v>
      </c>
      <c r="B3" s="1" t="s">
        <v>24</v>
      </c>
      <c r="C3" s="1">
        <v>4.0</v>
      </c>
      <c r="D3" s="1" t="s">
        <v>27</v>
      </c>
      <c r="E3" s="1" t="s">
        <v>16</v>
      </c>
      <c r="F3" s="1" t="s">
        <v>18</v>
      </c>
      <c r="G3" s="1" t="s">
        <v>30</v>
      </c>
      <c r="H3" s="1" t="s">
        <v>30</v>
      </c>
      <c r="I3" s="1" t="s">
        <v>21</v>
      </c>
      <c r="J3" s="1" t="s">
        <v>31</v>
      </c>
      <c r="K3" s="2">
        <v>-68.85776899999999</v>
      </c>
      <c r="L3" s="2">
        <v>-32.8917557</v>
      </c>
    </row>
    <row r="4">
      <c r="A4" s="1">
        <v>424.0</v>
      </c>
      <c r="B4" s="1" t="s">
        <v>24</v>
      </c>
      <c r="C4" s="1">
        <v>8.0</v>
      </c>
      <c r="D4" s="1" t="s">
        <v>32</v>
      </c>
      <c r="E4" s="1" t="s">
        <v>16</v>
      </c>
      <c r="F4" s="1" t="s">
        <v>18</v>
      </c>
      <c r="G4" s="1" t="s">
        <v>33</v>
      </c>
      <c r="H4" s="1" t="s">
        <v>33</v>
      </c>
      <c r="I4" s="1" t="s">
        <v>21</v>
      </c>
      <c r="J4" s="1" t="s">
        <v>35</v>
      </c>
      <c r="K4" s="2">
        <v>-68.8620356</v>
      </c>
      <c r="L4" s="2">
        <v>-32.891146</v>
      </c>
    </row>
    <row r="5">
      <c r="A5" s="1">
        <v>722.0</v>
      </c>
      <c r="B5" s="1" t="s">
        <v>36</v>
      </c>
      <c r="C5" s="1">
        <v>9.0</v>
      </c>
      <c r="D5" s="1" t="s">
        <v>37</v>
      </c>
      <c r="E5" s="1" t="s">
        <v>16</v>
      </c>
      <c r="F5" s="1" t="s">
        <v>18</v>
      </c>
      <c r="G5" s="1" t="s">
        <v>38</v>
      </c>
      <c r="H5" s="1" t="s">
        <v>38</v>
      </c>
      <c r="I5" s="1" t="s">
        <v>21</v>
      </c>
      <c r="J5" s="1" t="s">
        <v>39</v>
      </c>
      <c r="K5" s="2">
        <v>-68.83548259999999</v>
      </c>
      <c r="L5" s="2">
        <v>-32.8740908</v>
      </c>
    </row>
    <row r="6">
      <c r="A6" s="1">
        <v>731.0</v>
      </c>
      <c r="B6" s="1" t="s">
        <v>36</v>
      </c>
      <c r="C6" s="1">
        <v>10.0</v>
      </c>
      <c r="D6" s="1" t="s">
        <v>41</v>
      </c>
      <c r="E6" s="1" t="s">
        <v>16</v>
      </c>
      <c r="F6" s="1" t="s">
        <v>18</v>
      </c>
      <c r="G6" s="1" t="s">
        <v>44</v>
      </c>
      <c r="H6" s="1" t="s">
        <v>44</v>
      </c>
      <c r="I6" s="1" t="s">
        <v>21</v>
      </c>
      <c r="J6" s="1" t="s">
        <v>45</v>
      </c>
      <c r="K6" s="2">
        <v>-68.836409</v>
      </c>
      <c r="L6" s="2">
        <v>-32.877873</v>
      </c>
    </row>
    <row r="7">
      <c r="A7" s="1">
        <v>762.0</v>
      </c>
      <c r="B7" s="1" t="s">
        <v>36</v>
      </c>
      <c r="C7" s="1">
        <v>13.0</v>
      </c>
      <c r="D7" s="1" t="s">
        <v>47</v>
      </c>
      <c r="E7" s="1" t="s">
        <v>16</v>
      </c>
      <c r="F7" s="1" t="s">
        <v>18</v>
      </c>
      <c r="G7" s="1" t="s">
        <v>48</v>
      </c>
      <c r="H7" s="1" t="s">
        <v>48</v>
      </c>
      <c r="I7" s="1" t="s">
        <v>21</v>
      </c>
      <c r="J7" s="1" t="s">
        <v>50</v>
      </c>
      <c r="K7" s="2">
        <v>-68.83725299999999</v>
      </c>
      <c r="L7" s="2">
        <v>-32.88171</v>
      </c>
    </row>
    <row r="8">
      <c r="A8" s="1">
        <v>832.0</v>
      </c>
      <c r="B8" s="1" t="s">
        <v>55</v>
      </c>
      <c r="C8" s="1">
        <v>4.0</v>
      </c>
      <c r="D8" s="1" t="s">
        <v>57</v>
      </c>
      <c r="E8" s="1" t="s">
        <v>16</v>
      </c>
      <c r="F8" s="1" t="s">
        <v>18</v>
      </c>
      <c r="G8" s="1" t="s">
        <v>58</v>
      </c>
      <c r="H8" s="1" t="s">
        <v>60</v>
      </c>
      <c r="I8" s="1" t="s">
        <v>21</v>
      </c>
      <c r="J8" s="1" t="s">
        <v>61</v>
      </c>
      <c r="K8" s="2">
        <v>-68.8427871</v>
      </c>
      <c r="L8" s="2">
        <v>-32.8854809</v>
      </c>
    </row>
    <row r="9">
      <c r="A9" s="1">
        <v>900.0</v>
      </c>
      <c r="B9" s="1" t="s">
        <v>55</v>
      </c>
      <c r="C9" s="1">
        <v>12.0</v>
      </c>
      <c r="D9" s="1" t="s">
        <v>66</v>
      </c>
      <c r="E9" s="1" t="s">
        <v>16</v>
      </c>
      <c r="F9" s="1" t="s">
        <v>18</v>
      </c>
      <c r="G9" s="1" t="s">
        <v>68</v>
      </c>
      <c r="H9" s="1" t="s">
        <v>68</v>
      </c>
      <c r="I9" s="1" t="s">
        <v>21</v>
      </c>
      <c r="J9" s="1" t="s">
        <v>70</v>
      </c>
      <c r="K9" s="2">
        <v>-68.8444715</v>
      </c>
      <c r="L9" s="2">
        <v>-32.8853045</v>
      </c>
    </row>
    <row r="10">
      <c r="A10" s="1">
        <v>1023.0</v>
      </c>
      <c r="B10" s="1" t="s">
        <v>62</v>
      </c>
      <c r="C10" s="1">
        <v>8.0</v>
      </c>
      <c r="D10" s="1" t="s">
        <v>74</v>
      </c>
      <c r="E10" s="1" t="s">
        <v>16</v>
      </c>
      <c r="F10" s="1" t="s">
        <v>18</v>
      </c>
      <c r="G10" s="1" t="s">
        <v>76</v>
      </c>
      <c r="H10" s="1" t="s">
        <v>77</v>
      </c>
      <c r="I10" s="1" t="s">
        <v>21</v>
      </c>
      <c r="J10" s="1" t="s">
        <v>79</v>
      </c>
      <c r="K10" s="2">
        <v>-68.84956079999999</v>
      </c>
      <c r="L10" s="2">
        <v>-32.8931345</v>
      </c>
    </row>
    <row r="11">
      <c r="A11" s="1">
        <v>1030.0</v>
      </c>
      <c r="B11" s="1" t="s">
        <v>62</v>
      </c>
      <c r="C11" s="1">
        <v>9.0</v>
      </c>
      <c r="D11" s="1" t="s">
        <v>84</v>
      </c>
      <c r="E11" s="1" t="s">
        <v>16</v>
      </c>
      <c r="F11" s="1" t="s">
        <v>18</v>
      </c>
      <c r="G11" s="1" t="s">
        <v>85</v>
      </c>
      <c r="H11" s="1" t="s">
        <v>85</v>
      </c>
      <c r="I11" s="1" t="s">
        <v>21</v>
      </c>
      <c r="J11" s="1" t="s">
        <v>87</v>
      </c>
      <c r="K11" s="2">
        <v>-68.8500593</v>
      </c>
      <c r="L11" s="2">
        <v>-32.8933694</v>
      </c>
    </row>
    <row r="12">
      <c r="A12" s="1">
        <v>1039.0</v>
      </c>
      <c r="B12" s="1" t="s">
        <v>62</v>
      </c>
      <c r="C12" s="1">
        <v>10.0</v>
      </c>
      <c r="D12" s="1" t="s">
        <v>93</v>
      </c>
      <c r="E12" s="1" t="s">
        <v>16</v>
      </c>
      <c r="F12" s="1" t="s">
        <v>18</v>
      </c>
      <c r="G12" s="1" t="s">
        <v>95</v>
      </c>
      <c r="H12" s="1" t="s">
        <v>95</v>
      </c>
      <c r="I12" s="1" t="s">
        <v>21</v>
      </c>
      <c r="J12" s="1" t="s">
        <v>98</v>
      </c>
      <c r="K12" s="2">
        <v>-68.8488933</v>
      </c>
      <c r="L12" s="2">
        <v>-32.8936691</v>
      </c>
    </row>
    <row r="13">
      <c r="A13" s="1">
        <v>1100.0</v>
      </c>
      <c r="B13" s="1" t="s">
        <v>62</v>
      </c>
      <c r="C13" s="1">
        <v>17.0</v>
      </c>
      <c r="D13" s="1" t="s">
        <v>103</v>
      </c>
      <c r="E13" s="1" t="s">
        <v>16</v>
      </c>
      <c r="F13" s="1" t="s">
        <v>18</v>
      </c>
      <c r="G13" s="1" t="s">
        <v>106</v>
      </c>
      <c r="H13" s="1" t="s">
        <v>106</v>
      </c>
      <c r="I13" s="1" t="s">
        <v>21</v>
      </c>
      <c r="J13" s="1" t="s">
        <v>108</v>
      </c>
      <c r="K13" s="2">
        <v>-68.841673</v>
      </c>
      <c r="L13" s="2">
        <v>-32.894923</v>
      </c>
    </row>
    <row r="14">
      <c r="A14" s="1">
        <v>1577.0</v>
      </c>
      <c r="D14" s="1" t="s">
        <v>113</v>
      </c>
      <c r="E14" s="1" t="s">
        <v>16</v>
      </c>
      <c r="F14" s="1" t="s">
        <v>18</v>
      </c>
      <c r="G14" s="1" t="s">
        <v>116</v>
      </c>
      <c r="I14" s="1" t="s">
        <v>21</v>
      </c>
      <c r="J14" s="1" t="s">
        <v>118</v>
      </c>
      <c r="K14" s="2">
        <v>-68.8379358</v>
      </c>
      <c r="L14" s="2">
        <v>-32.8844478</v>
      </c>
    </row>
    <row r="15">
      <c r="B15" s="1" t="s">
        <v>120</v>
      </c>
      <c r="C15" s="1">
        <v>1.0</v>
      </c>
      <c r="D15" s="1" t="s">
        <v>122</v>
      </c>
      <c r="E15" s="1" t="s">
        <v>16</v>
      </c>
      <c r="F15" s="1" t="s">
        <v>125</v>
      </c>
      <c r="G15" s="1" t="s">
        <v>128</v>
      </c>
      <c r="H15" s="1" t="s">
        <v>128</v>
      </c>
      <c r="I15" s="1" t="s">
        <v>21</v>
      </c>
      <c r="J15" s="1" t="s">
        <v>131</v>
      </c>
      <c r="K15" s="2">
        <v>-68.840119</v>
      </c>
      <c r="L15" s="2">
        <v>-32.889193</v>
      </c>
    </row>
    <row r="16">
      <c r="A16" s="1">
        <v>1659.0</v>
      </c>
      <c r="D16" s="1" t="s">
        <v>134</v>
      </c>
      <c r="E16" s="1" t="s">
        <v>16</v>
      </c>
      <c r="F16" s="1" t="s">
        <v>125</v>
      </c>
      <c r="G16" s="1" t="s">
        <v>137</v>
      </c>
      <c r="I16" s="1" t="s">
        <v>21</v>
      </c>
      <c r="J16" s="1" t="s">
        <v>140</v>
      </c>
      <c r="K16" s="2">
        <v>-68.8320739</v>
      </c>
      <c r="L16" s="2">
        <v>-32.84339</v>
      </c>
    </row>
    <row r="17">
      <c r="A17" s="1">
        <v>30.0</v>
      </c>
      <c r="B17" s="1" t="s">
        <v>12</v>
      </c>
      <c r="C17" s="1">
        <v>6.0</v>
      </c>
      <c r="D17" s="1" t="s">
        <v>143</v>
      </c>
      <c r="E17" s="1" t="s">
        <v>16</v>
      </c>
      <c r="F17" s="1" t="s">
        <v>144</v>
      </c>
      <c r="G17" s="1" t="s">
        <v>146</v>
      </c>
      <c r="H17" s="1" t="s">
        <v>146</v>
      </c>
      <c r="I17" s="1" t="s">
        <v>21</v>
      </c>
      <c r="J17" s="1" t="s">
        <v>149</v>
      </c>
      <c r="K17" s="2">
        <v>-68.8571159</v>
      </c>
      <c r="L17" s="2">
        <v>-32.883583</v>
      </c>
    </row>
    <row r="18">
      <c r="A18" s="1">
        <v>130.0</v>
      </c>
      <c r="B18" s="1" t="s">
        <v>29</v>
      </c>
      <c r="C18" s="1">
        <v>6.0</v>
      </c>
      <c r="D18" s="1" t="s">
        <v>153</v>
      </c>
      <c r="E18" s="1" t="s">
        <v>16</v>
      </c>
      <c r="F18" s="1" t="s">
        <v>144</v>
      </c>
      <c r="G18" s="1" t="s">
        <v>156</v>
      </c>
      <c r="H18" s="1" t="s">
        <v>156</v>
      </c>
      <c r="I18" s="1" t="s">
        <v>21</v>
      </c>
      <c r="J18" s="1" t="s">
        <v>159</v>
      </c>
      <c r="K18" s="2">
        <v>-68.84084849999999</v>
      </c>
      <c r="L18" s="2">
        <v>-32.8899379</v>
      </c>
    </row>
    <row r="19">
      <c r="A19" s="1">
        <v>194.0</v>
      </c>
      <c r="B19" s="1" t="s">
        <v>29</v>
      </c>
      <c r="C19" s="1">
        <v>10.0</v>
      </c>
      <c r="D19" s="1" t="s">
        <v>162</v>
      </c>
      <c r="E19" s="1" t="s">
        <v>16</v>
      </c>
      <c r="F19" s="1" t="s">
        <v>144</v>
      </c>
      <c r="G19" s="3" t="s">
        <v>169</v>
      </c>
      <c r="H19" s="3" t="s">
        <v>169</v>
      </c>
      <c r="I19" s="1" t="s">
        <v>21</v>
      </c>
      <c r="J19" s="1" t="s">
        <v>173</v>
      </c>
      <c r="K19" s="2">
        <v>-68.840644</v>
      </c>
      <c r="L19" s="2">
        <v>-32.891061</v>
      </c>
    </row>
    <row r="20">
      <c r="A20" s="1">
        <v>411.0</v>
      </c>
      <c r="B20" s="1" t="s">
        <v>24</v>
      </c>
      <c r="C20" s="1">
        <v>5.0</v>
      </c>
      <c r="D20" s="1" t="s">
        <v>178</v>
      </c>
      <c r="E20" s="1" t="s">
        <v>16</v>
      </c>
      <c r="F20" s="1" t="s">
        <v>144</v>
      </c>
      <c r="G20" s="1" t="s">
        <v>180</v>
      </c>
      <c r="H20" s="1" t="s">
        <v>180</v>
      </c>
      <c r="I20" s="1" t="s">
        <v>21</v>
      </c>
      <c r="J20" s="1" t="s">
        <v>182</v>
      </c>
      <c r="K20" s="2">
        <v>-68.8585998</v>
      </c>
      <c r="L20" s="2">
        <v>-32.8914974</v>
      </c>
    </row>
    <row r="21">
      <c r="A21" s="1">
        <v>434.0</v>
      </c>
      <c r="B21" s="1" t="s">
        <v>24</v>
      </c>
      <c r="C21" s="1">
        <v>10.0</v>
      </c>
      <c r="D21" s="1" t="s">
        <v>187</v>
      </c>
      <c r="E21" s="1" t="s">
        <v>16</v>
      </c>
      <c r="F21" s="1" t="s">
        <v>144</v>
      </c>
      <c r="G21" s="1" t="s">
        <v>190</v>
      </c>
      <c r="H21" s="1" t="s">
        <v>190</v>
      </c>
      <c r="I21" s="1" t="s">
        <v>21</v>
      </c>
      <c r="J21" s="1" t="s">
        <v>193</v>
      </c>
      <c r="K21" s="2">
        <v>-68.85893109999999</v>
      </c>
      <c r="L21" s="2">
        <v>-32.8916217</v>
      </c>
    </row>
    <row r="22">
      <c r="A22" s="1">
        <v>706.0</v>
      </c>
      <c r="B22" s="1" t="s">
        <v>36</v>
      </c>
      <c r="C22" s="1">
        <v>6.0</v>
      </c>
      <c r="D22" s="1" t="s">
        <v>197</v>
      </c>
      <c r="E22" s="1" t="s">
        <v>16</v>
      </c>
      <c r="F22" s="1" t="s">
        <v>144</v>
      </c>
      <c r="G22" s="1" t="s">
        <v>200</v>
      </c>
      <c r="H22" s="1" t="s">
        <v>200</v>
      </c>
      <c r="I22" s="1" t="s">
        <v>21</v>
      </c>
      <c r="J22" s="1" t="s">
        <v>203</v>
      </c>
      <c r="K22" s="2">
        <v>-68.8356123</v>
      </c>
      <c r="L22" s="2">
        <v>-32.8779207</v>
      </c>
    </row>
    <row r="23">
      <c r="A23" s="1">
        <v>740.0</v>
      </c>
      <c r="B23" s="1" t="s">
        <v>36</v>
      </c>
      <c r="C23" s="1">
        <v>10.0</v>
      </c>
      <c r="D23" s="1" t="s">
        <v>207</v>
      </c>
      <c r="E23" s="1" t="s">
        <v>16</v>
      </c>
      <c r="F23" s="1" t="s">
        <v>144</v>
      </c>
      <c r="G23" s="1" t="s">
        <v>208</v>
      </c>
      <c r="H23" s="1" t="s">
        <v>208</v>
      </c>
      <c r="I23" s="1" t="s">
        <v>21</v>
      </c>
      <c r="J23" s="1" t="s">
        <v>209</v>
      </c>
      <c r="K23" s="2">
        <v>-68.8359</v>
      </c>
      <c r="L23" s="2">
        <v>-32.8764509</v>
      </c>
    </row>
    <row r="24">
      <c r="A24" s="1">
        <v>746.0</v>
      </c>
      <c r="B24" s="1" t="s">
        <v>36</v>
      </c>
      <c r="C24" s="1">
        <v>12.0</v>
      </c>
      <c r="D24" s="1" t="s">
        <v>213</v>
      </c>
      <c r="E24" s="1" t="s">
        <v>16</v>
      </c>
      <c r="F24" s="1" t="s">
        <v>144</v>
      </c>
      <c r="G24" s="1" t="s">
        <v>215</v>
      </c>
      <c r="H24" s="1" t="s">
        <v>215</v>
      </c>
      <c r="I24" s="1" t="s">
        <v>21</v>
      </c>
      <c r="J24" s="1" t="s">
        <v>217</v>
      </c>
      <c r="K24" s="2">
        <v>-68.8369939</v>
      </c>
      <c r="L24" s="2">
        <v>-32.88071</v>
      </c>
    </row>
    <row r="25">
      <c r="A25" s="1">
        <v>750.0</v>
      </c>
      <c r="B25" s="1" t="s">
        <v>36</v>
      </c>
      <c r="C25" s="1">
        <v>12.0</v>
      </c>
      <c r="D25" s="1" t="s">
        <v>222</v>
      </c>
      <c r="E25" s="1" t="s">
        <v>16</v>
      </c>
      <c r="F25" s="1" t="s">
        <v>144</v>
      </c>
      <c r="G25" s="1" t="s">
        <v>224</v>
      </c>
      <c r="H25" s="1" t="s">
        <v>224</v>
      </c>
      <c r="I25" s="1" t="s">
        <v>21</v>
      </c>
      <c r="J25" s="1" t="s">
        <v>226</v>
      </c>
      <c r="K25" s="2">
        <v>-68.8368596</v>
      </c>
      <c r="L25" s="2">
        <v>-32.8803151</v>
      </c>
    </row>
    <row r="26">
      <c r="A26" s="1">
        <v>754.0</v>
      </c>
      <c r="B26" s="1" t="s">
        <v>36</v>
      </c>
      <c r="C26" s="1">
        <v>13.0</v>
      </c>
      <c r="D26" s="1" t="s">
        <v>233</v>
      </c>
      <c r="E26" s="1" t="s">
        <v>16</v>
      </c>
      <c r="F26" s="1" t="s">
        <v>144</v>
      </c>
      <c r="G26" s="1" t="s">
        <v>235</v>
      </c>
      <c r="H26" s="1" t="s">
        <v>235</v>
      </c>
      <c r="I26" s="1" t="s">
        <v>21</v>
      </c>
      <c r="J26" s="1" t="s">
        <v>237</v>
      </c>
      <c r="K26" s="2">
        <v>-68.837439</v>
      </c>
      <c r="L26" s="2">
        <v>-32.882055</v>
      </c>
    </row>
    <row r="27">
      <c r="A27" s="1">
        <v>885.0</v>
      </c>
      <c r="B27" s="1" t="s">
        <v>55</v>
      </c>
      <c r="C27" s="1">
        <v>10.0</v>
      </c>
      <c r="D27" s="1" t="s">
        <v>242</v>
      </c>
      <c r="E27" s="1" t="s">
        <v>16</v>
      </c>
      <c r="F27" s="1" t="s">
        <v>144</v>
      </c>
      <c r="G27" s="1" t="s">
        <v>244</v>
      </c>
      <c r="H27" s="1" t="s">
        <v>245</v>
      </c>
      <c r="I27" s="1" t="s">
        <v>21</v>
      </c>
      <c r="J27" s="1" t="s">
        <v>247</v>
      </c>
      <c r="K27" s="2">
        <v>-68.8470579</v>
      </c>
      <c r="L27" s="2">
        <v>-32.8849279</v>
      </c>
    </row>
    <row r="28">
      <c r="A28" s="1">
        <v>1099.0</v>
      </c>
      <c r="B28" s="1" t="s">
        <v>62</v>
      </c>
      <c r="C28" s="1">
        <v>16.0</v>
      </c>
      <c r="D28" s="1" t="s">
        <v>253</v>
      </c>
      <c r="E28" s="1" t="s">
        <v>16</v>
      </c>
      <c r="F28" s="1" t="s">
        <v>144</v>
      </c>
      <c r="G28" s="1" t="s">
        <v>255</v>
      </c>
      <c r="H28" s="1" t="s">
        <v>255</v>
      </c>
      <c r="I28" s="1" t="s">
        <v>21</v>
      </c>
      <c r="J28" s="1" t="s">
        <v>258</v>
      </c>
      <c r="K28" s="2">
        <v>-68.8421753</v>
      </c>
      <c r="L28" s="2">
        <v>-32.8948146</v>
      </c>
    </row>
    <row r="29">
      <c r="A29" s="1">
        <v>1148.0</v>
      </c>
      <c r="B29" s="1" t="s">
        <v>120</v>
      </c>
      <c r="C29" s="1">
        <v>4.0</v>
      </c>
      <c r="D29" s="1" t="s">
        <v>264</v>
      </c>
      <c r="E29" s="1" t="s">
        <v>16</v>
      </c>
      <c r="F29" s="1" t="s">
        <v>144</v>
      </c>
      <c r="G29" s="1" t="s">
        <v>266</v>
      </c>
      <c r="H29" s="1" t="s">
        <v>266</v>
      </c>
      <c r="I29" s="1" t="s">
        <v>21</v>
      </c>
      <c r="J29" s="1" t="s">
        <v>268</v>
      </c>
      <c r="K29" s="2">
        <v>-68.84203219999999</v>
      </c>
      <c r="L29" s="2">
        <v>-32.8890928</v>
      </c>
    </row>
    <row r="30">
      <c r="A30" s="1">
        <v>1200.0</v>
      </c>
      <c r="B30" s="1" t="s">
        <v>227</v>
      </c>
      <c r="C30" s="1">
        <v>2.0</v>
      </c>
      <c r="D30" s="1" t="s">
        <v>273</v>
      </c>
      <c r="E30" s="1" t="s">
        <v>16</v>
      </c>
      <c r="F30" s="1" t="s">
        <v>144</v>
      </c>
      <c r="G30" s="1" t="s">
        <v>274</v>
      </c>
      <c r="H30" s="1" t="s">
        <v>275</v>
      </c>
      <c r="I30" s="1" t="s">
        <v>21</v>
      </c>
      <c r="J30" s="1" t="s">
        <v>276</v>
      </c>
      <c r="K30" s="2">
        <v>-68.8398139</v>
      </c>
      <c r="L30" s="2">
        <v>-32.8836073</v>
      </c>
    </row>
    <row r="31">
      <c r="A31" s="1">
        <v>1227.0</v>
      </c>
      <c r="B31" s="1" t="s">
        <v>227</v>
      </c>
      <c r="C31" s="1">
        <v>8.0</v>
      </c>
      <c r="D31" s="1" t="s">
        <v>280</v>
      </c>
      <c r="E31" s="1" t="s">
        <v>16</v>
      </c>
      <c r="F31" s="1" t="s">
        <v>144</v>
      </c>
      <c r="G31" s="1" t="s">
        <v>281</v>
      </c>
      <c r="H31" s="1" t="s">
        <v>281</v>
      </c>
      <c r="I31" s="1" t="s">
        <v>21</v>
      </c>
      <c r="J31" s="1" t="s">
        <v>282</v>
      </c>
      <c r="K31" s="2">
        <v>-68.8410361</v>
      </c>
      <c r="L31" s="2">
        <v>-32.8836567</v>
      </c>
    </row>
    <row r="32">
      <c r="A32" s="1">
        <v>1236.0</v>
      </c>
      <c r="B32" s="1" t="s">
        <v>227</v>
      </c>
      <c r="C32" s="1">
        <v>10.0</v>
      </c>
      <c r="D32" s="1" t="s">
        <v>286</v>
      </c>
      <c r="E32" s="1" t="s">
        <v>16</v>
      </c>
      <c r="F32" s="1" t="s">
        <v>144</v>
      </c>
      <c r="G32" s="1" t="s">
        <v>287</v>
      </c>
      <c r="H32" s="1" t="s">
        <v>287</v>
      </c>
      <c r="I32" s="1" t="s">
        <v>21</v>
      </c>
      <c r="J32" s="1" t="s">
        <v>288</v>
      </c>
      <c r="K32" s="2">
        <v>-68.8387345</v>
      </c>
      <c r="L32" s="2">
        <v>-32.8840664</v>
      </c>
    </row>
    <row r="33">
      <c r="A33" s="1">
        <v>1299.0</v>
      </c>
      <c r="B33" s="1" t="s">
        <v>248</v>
      </c>
      <c r="C33" s="1">
        <v>9.0</v>
      </c>
      <c r="D33" s="1" t="s">
        <v>292</v>
      </c>
      <c r="E33" s="1" t="s">
        <v>16</v>
      </c>
      <c r="F33" s="1" t="s">
        <v>144</v>
      </c>
      <c r="G33" s="1" t="s">
        <v>295</v>
      </c>
      <c r="H33" s="1" t="s">
        <v>295</v>
      </c>
      <c r="I33" s="1" t="s">
        <v>21</v>
      </c>
      <c r="J33" s="1" t="s">
        <v>296</v>
      </c>
      <c r="K33" s="2">
        <v>-68.8422748</v>
      </c>
      <c r="L33" s="2">
        <v>-32.8919417</v>
      </c>
    </row>
    <row r="34">
      <c r="A34" s="1">
        <v>1362.0</v>
      </c>
      <c r="D34" s="1" t="s">
        <v>301</v>
      </c>
      <c r="E34" s="1" t="s">
        <v>16</v>
      </c>
      <c r="F34" s="1" t="s">
        <v>144</v>
      </c>
      <c r="G34" s="1" t="s">
        <v>304</v>
      </c>
      <c r="I34" s="1" t="s">
        <v>21</v>
      </c>
      <c r="J34" s="1" t="s">
        <v>305</v>
      </c>
      <c r="K34" s="2">
        <v>-68.823016</v>
      </c>
      <c r="L34" s="2">
        <v>-32.9160849</v>
      </c>
    </row>
    <row r="35">
      <c r="A35" s="1">
        <v>1365.0</v>
      </c>
      <c r="D35" s="1" t="s">
        <v>309</v>
      </c>
      <c r="E35" s="1" t="s">
        <v>16</v>
      </c>
      <c r="F35" s="1" t="s">
        <v>144</v>
      </c>
      <c r="G35" s="1" t="s">
        <v>313</v>
      </c>
      <c r="I35" s="1" t="s">
        <v>21</v>
      </c>
      <c r="J35" s="1" t="s">
        <v>315</v>
      </c>
      <c r="K35" s="2">
        <v>-68.839337</v>
      </c>
      <c r="L35" s="2">
        <v>-32.8876939</v>
      </c>
    </row>
    <row r="36">
      <c r="A36" s="1">
        <v>1424.0</v>
      </c>
      <c r="D36" s="1" t="s">
        <v>317</v>
      </c>
      <c r="E36" s="1" t="s">
        <v>16</v>
      </c>
      <c r="F36" s="1" t="s">
        <v>144</v>
      </c>
      <c r="G36" s="1" t="s">
        <v>320</v>
      </c>
      <c r="I36" s="1" t="s">
        <v>21</v>
      </c>
      <c r="J36" s="1" t="s">
        <v>322</v>
      </c>
      <c r="K36" s="2">
        <v>-68.8389463</v>
      </c>
      <c r="L36" s="2">
        <v>-32.8899569</v>
      </c>
    </row>
    <row r="37">
      <c r="A37" s="1">
        <v>1457.0</v>
      </c>
      <c r="D37" s="1" t="s">
        <v>325</v>
      </c>
      <c r="E37" s="1" t="s">
        <v>16</v>
      </c>
      <c r="F37" s="1" t="s">
        <v>144</v>
      </c>
      <c r="G37" s="1" t="s">
        <v>328</v>
      </c>
      <c r="I37" s="1" t="s">
        <v>21</v>
      </c>
      <c r="J37" s="1" t="s">
        <v>329</v>
      </c>
      <c r="K37" s="2">
        <v>-68.83883</v>
      </c>
      <c r="L37" s="2">
        <v>-32.889086</v>
      </c>
    </row>
    <row r="38">
      <c r="A38" s="1">
        <v>1507.0</v>
      </c>
      <c r="D38" s="1" t="s">
        <v>332</v>
      </c>
      <c r="E38" s="1" t="s">
        <v>16</v>
      </c>
      <c r="F38" s="1" t="s">
        <v>144</v>
      </c>
      <c r="G38" s="1" t="s">
        <v>334</v>
      </c>
      <c r="I38" s="1" t="s">
        <v>21</v>
      </c>
      <c r="J38" s="1" t="s">
        <v>337</v>
      </c>
      <c r="K38" s="2">
        <v>-68.838724</v>
      </c>
      <c r="L38" s="2">
        <v>-32.889123</v>
      </c>
    </row>
    <row r="39">
      <c r="A39" s="1">
        <v>1585.0</v>
      </c>
      <c r="D39" s="1" t="s">
        <v>341</v>
      </c>
      <c r="E39" s="1" t="s">
        <v>16</v>
      </c>
      <c r="F39" s="1" t="s">
        <v>144</v>
      </c>
      <c r="G39" s="1" t="s">
        <v>343</v>
      </c>
      <c r="I39" s="1" t="s">
        <v>21</v>
      </c>
      <c r="J39" s="1" t="s">
        <v>345</v>
      </c>
      <c r="K39" s="2">
        <v>-68.8395215</v>
      </c>
      <c r="L39" s="2">
        <v>-32.8901412</v>
      </c>
    </row>
    <row r="40">
      <c r="A40" s="1">
        <v>1591.0</v>
      </c>
      <c r="D40" s="1" t="s">
        <v>348</v>
      </c>
      <c r="E40" s="1" t="s">
        <v>16</v>
      </c>
      <c r="F40" s="1" t="s">
        <v>144</v>
      </c>
      <c r="G40" s="1" t="s">
        <v>350</v>
      </c>
      <c r="I40" s="1" t="s">
        <v>21</v>
      </c>
      <c r="J40" s="1" t="s">
        <v>353</v>
      </c>
      <c r="K40" s="2">
        <v>-68.8395603</v>
      </c>
      <c r="L40" s="2">
        <v>-32.8904347</v>
      </c>
    </row>
    <row r="41">
      <c r="A41" s="1">
        <v>485.0</v>
      </c>
      <c r="B41" s="1" t="s">
        <v>109</v>
      </c>
      <c r="C41" s="1">
        <v>1.0</v>
      </c>
      <c r="D41" s="1" t="s">
        <v>357</v>
      </c>
      <c r="E41" s="1" t="s">
        <v>16</v>
      </c>
      <c r="F41" s="1" t="s">
        <v>359</v>
      </c>
      <c r="G41" s="1" t="s">
        <v>361</v>
      </c>
      <c r="H41" s="1" t="s">
        <v>361</v>
      </c>
      <c r="I41" s="1" t="s">
        <v>21</v>
      </c>
      <c r="J41" s="1" t="s">
        <v>364</v>
      </c>
      <c r="K41" s="2">
        <v>-68.83964209999999</v>
      </c>
      <c r="L41" s="2">
        <v>-32.8923754</v>
      </c>
    </row>
    <row r="42">
      <c r="A42" s="1">
        <v>486.0</v>
      </c>
      <c r="B42" s="1" t="s">
        <v>109</v>
      </c>
      <c r="C42" s="1">
        <v>1.0</v>
      </c>
      <c r="D42" s="1" t="s">
        <v>369</v>
      </c>
      <c r="E42" s="1" t="s">
        <v>16</v>
      </c>
      <c r="F42" s="1" t="s">
        <v>359</v>
      </c>
      <c r="G42" s="1" t="s">
        <v>372</v>
      </c>
      <c r="H42" s="1" t="s">
        <v>372</v>
      </c>
      <c r="I42" s="1" t="s">
        <v>21</v>
      </c>
      <c r="J42" s="1" t="s">
        <v>375</v>
      </c>
      <c r="K42" s="2">
        <v>-68.8397229</v>
      </c>
      <c r="L42" s="2">
        <v>-32.8925266</v>
      </c>
    </row>
    <row r="43">
      <c r="A43" s="1">
        <v>491.0</v>
      </c>
      <c r="B43" s="1" t="s">
        <v>109</v>
      </c>
      <c r="C43" s="1">
        <v>2.0</v>
      </c>
      <c r="D43" s="1" t="s">
        <v>379</v>
      </c>
      <c r="E43" s="1" t="s">
        <v>16</v>
      </c>
      <c r="F43" s="1" t="s">
        <v>359</v>
      </c>
      <c r="G43" s="1" t="s">
        <v>382</v>
      </c>
      <c r="H43" s="1" t="s">
        <v>382</v>
      </c>
      <c r="I43" s="1" t="s">
        <v>21</v>
      </c>
      <c r="J43" s="1" t="s">
        <v>385</v>
      </c>
      <c r="K43" s="2">
        <v>-68.8393054</v>
      </c>
      <c r="L43" s="2">
        <v>-32.8907976</v>
      </c>
    </row>
    <row r="44">
      <c r="A44" s="1">
        <v>588.0</v>
      </c>
      <c r="B44" s="1" t="s">
        <v>109</v>
      </c>
      <c r="C44" s="1">
        <v>10.0</v>
      </c>
      <c r="D44" s="1" t="s">
        <v>389</v>
      </c>
      <c r="E44" s="1" t="s">
        <v>16</v>
      </c>
      <c r="F44" s="1" t="s">
        <v>359</v>
      </c>
      <c r="G44" s="1" t="s">
        <v>393</v>
      </c>
      <c r="H44" s="1" t="s">
        <v>393</v>
      </c>
      <c r="I44" s="1" t="s">
        <v>21</v>
      </c>
      <c r="J44" s="1" t="s">
        <v>394</v>
      </c>
      <c r="K44" s="2">
        <v>-68.8384906</v>
      </c>
      <c r="L44" s="2">
        <v>-32.8865273</v>
      </c>
    </row>
    <row r="45">
      <c r="B45" s="1" t="s">
        <v>109</v>
      </c>
      <c r="C45" s="1">
        <v>13.0</v>
      </c>
      <c r="D45" s="1" t="s">
        <v>397</v>
      </c>
      <c r="E45" s="1" t="s">
        <v>16</v>
      </c>
      <c r="F45" s="1" t="s">
        <v>359</v>
      </c>
      <c r="G45" s="1" t="s">
        <v>400</v>
      </c>
      <c r="H45" s="1" t="s">
        <v>400</v>
      </c>
      <c r="I45" s="1" t="s">
        <v>21</v>
      </c>
      <c r="J45" s="1" t="s">
        <v>403</v>
      </c>
      <c r="K45" s="2">
        <v>-68.8395539</v>
      </c>
      <c r="L45" s="2">
        <v>-32.890254</v>
      </c>
    </row>
    <row r="46">
      <c r="A46" s="1">
        <v>651.0</v>
      </c>
      <c r="B46" s="1" t="s">
        <v>109</v>
      </c>
      <c r="C46" s="1">
        <v>15.0</v>
      </c>
      <c r="D46" s="1" t="s">
        <v>389</v>
      </c>
      <c r="E46" s="1" t="s">
        <v>16</v>
      </c>
      <c r="F46" s="1" t="s">
        <v>359</v>
      </c>
      <c r="G46" s="1" t="s">
        <v>135</v>
      </c>
      <c r="H46" s="1" t="s">
        <v>405</v>
      </c>
      <c r="I46" s="1" t="s">
        <v>21</v>
      </c>
      <c r="J46" s="1" t="s">
        <v>139</v>
      </c>
      <c r="K46" s="2">
        <v>-68.8399149</v>
      </c>
      <c r="L46" s="2">
        <v>-32.892237</v>
      </c>
    </row>
    <row r="47">
      <c r="A47" s="1">
        <v>654.0</v>
      </c>
      <c r="B47" s="1" t="s">
        <v>109</v>
      </c>
      <c r="C47" s="1">
        <v>15.0</v>
      </c>
      <c r="D47" s="1" t="s">
        <v>410</v>
      </c>
      <c r="E47" s="1" t="s">
        <v>16</v>
      </c>
      <c r="F47" s="1" t="s">
        <v>359</v>
      </c>
      <c r="G47" s="1" t="s">
        <v>413</v>
      </c>
      <c r="H47" s="1" t="s">
        <v>413</v>
      </c>
      <c r="I47" s="1" t="s">
        <v>21</v>
      </c>
      <c r="J47" s="1" t="s">
        <v>415</v>
      </c>
      <c r="K47" s="2">
        <v>-68.8399367</v>
      </c>
      <c r="L47" s="2">
        <v>-32.8919562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24.0</v>
      </c>
      <c r="B2" s="1" t="s">
        <v>12</v>
      </c>
      <c r="C2" s="1">
        <v>5.0</v>
      </c>
      <c r="D2" s="1" t="s">
        <v>783</v>
      </c>
      <c r="E2" s="1" t="s">
        <v>785</v>
      </c>
      <c r="F2" s="1" t="s">
        <v>788</v>
      </c>
      <c r="G2" s="1" t="s">
        <v>790</v>
      </c>
      <c r="H2" s="1" t="s">
        <v>790</v>
      </c>
      <c r="I2" s="1" t="s">
        <v>21</v>
      </c>
      <c r="J2" s="1" t="s">
        <v>793</v>
      </c>
      <c r="K2" s="2">
        <v>-68.8557469</v>
      </c>
      <c r="L2" s="2">
        <v>-32.8835807</v>
      </c>
    </row>
    <row r="3">
      <c r="B3" s="1" t="s">
        <v>51</v>
      </c>
      <c r="D3" s="1" t="s">
        <v>799</v>
      </c>
      <c r="E3" s="1" t="s">
        <v>785</v>
      </c>
      <c r="F3" s="1" t="s">
        <v>788</v>
      </c>
      <c r="G3" s="1" t="s">
        <v>803</v>
      </c>
      <c r="H3" s="1" t="s">
        <v>804</v>
      </c>
      <c r="I3" s="1" t="s">
        <v>21</v>
      </c>
      <c r="J3" s="1" t="s">
        <v>808</v>
      </c>
      <c r="K3" s="2">
        <v>-68.84000449999999</v>
      </c>
      <c r="L3" s="2">
        <v>-32.890499</v>
      </c>
    </row>
    <row r="4">
      <c r="A4" s="1">
        <v>313.0</v>
      </c>
      <c r="B4" s="1" t="s">
        <v>51</v>
      </c>
      <c r="C4" s="1">
        <v>5.0</v>
      </c>
      <c r="D4" s="1" t="s">
        <v>815</v>
      </c>
      <c r="E4" s="1" t="s">
        <v>785</v>
      </c>
      <c r="F4" s="1" t="s">
        <v>788</v>
      </c>
      <c r="G4" s="1" t="s">
        <v>817</v>
      </c>
      <c r="H4" s="1" t="s">
        <v>817</v>
      </c>
      <c r="I4" s="1" t="s">
        <v>21</v>
      </c>
      <c r="J4" s="1" t="s">
        <v>820</v>
      </c>
      <c r="K4" s="2">
        <v>-68.8414729</v>
      </c>
      <c r="L4" s="2">
        <v>-32.890405</v>
      </c>
    </row>
    <row r="5">
      <c r="A5" s="1">
        <v>469.0</v>
      </c>
      <c r="B5" s="1" t="s">
        <v>24</v>
      </c>
      <c r="C5" s="1">
        <v>13.0</v>
      </c>
      <c r="D5" s="1" t="s">
        <v>824</v>
      </c>
      <c r="E5" s="1" t="s">
        <v>785</v>
      </c>
      <c r="F5" s="1" t="s">
        <v>788</v>
      </c>
      <c r="G5" s="1" t="s">
        <v>826</v>
      </c>
      <c r="H5" s="1" t="s">
        <v>829</v>
      </c>
      <c r="I5" s="1" t="s">
        <v>21</v>
      </c>
      <c r="J5" s="1" t="s">
        <v>831</v>
      </c>
      <c r="K5" s="2">
        <v>-68.8526463</v>
      </c>
      <c r="L5" s="2">
        <v>-32.8928802</v>
      </c>
    </row>
    <row r="6">
      <c r="A6" s="1">
        <v>562.0</v>
      </c>
      <c r="B6" s="1" t="s">
        <v>109</v>
      </c>
      <c r="C6" s="1">
        <v>8.0</v>
      </c>
      <c r="D6" s="1" t="s">
        <v>838</v>
      </c>
      <c r="E6" s="1" t="s">
        <v>785</v>
      </c>
      <c r="F6" s="1" t="s">
        <v>788</v>
      </c>
      <c r="G6" s="1" t="s">
        <v>839</v>
      </c>
      <c r="H6" s="1" t="s">
        <v>839</v>
      </c>
      <c r="I6" s="1" t="s">
        <v>21</v>
      </c>
      <c r="J6" s="1" t="s">
        <v>843</v>
      </c>
      <c r="K6" s="2">
        <v>-68.8380657</v>
      </c>
      <c r="L6" s="2">
        <v>-32.8842506</v>
      </c>
    </row>
    <row r="7">
      <c r="A7" s="1">
        <v>563.0</v>
      </c>
      <c r="B7" s="1" t="s">
        <v>109</v>
      </c>
      <c r="C7" s="1">
        <v>8.0</v>
      </c>
      <c r="D7" s="1" t="s">
        <v>286</v>
      </c>
      <c r="E7" s="1" t="s">
        <v>785</v>
      </c>
      <c r="F7" s="1" t="s">
        <v>788</v>
      </c>
      <c r="G7" s="1" t="s">
        <v>849</v>
      </c>
      <c r="H7" s="1" t="s">
        <v>849</v>
      </c>
      <c r="I7" s="1" t="s">
        <v>21</v>
      </c>
      <c r="J7" s="1" t="s">
        <v>853</v>
      </c>
      <c r="K7" s="2">
        <v>-68.8380931</v>
      </c>
      <c r="L7" s="2">
        <v>-32.8843591</v>
      </c>
    </row>
    <row r="8">
      <c r="A8" s="1">
        <v>598.0</v>
      </c>
      <c r="B8" s="1" t="s">
        <v>109</v>
      </c>
      <c r="C8" s="1">
        <v>10.0</v>
      </c>
      <c r="D8" s="1" t="s">
        <v>857</v>
      </c>
      <c r="E8" s="1" t="s">
        <v>785</v>
      </c>
      <c r="F8" s="1" t="s">
        <v>788</v>
      </c>
      <c r="G8" s="1" t="s">
        <v>861</v>
      </c>
      <c r="H8" s="1" t="s">
        <v>861</v>
      </c>
      <c r="I8" s="1" t="s">
        <v>21</v>
      </c>
      <c r="J8" s="1" t="s">
        <v>863</v>
      </c>
      <c r="K8" s="2">
        <v>-68.8386766</v>
      </c>
      <c r="L8" s="2">
        <v>-32.8868598</v>
      </c>
    </row>
    <row r="9">
      <c r="A9" s="1">
        <v>620.0</v>
      </c>
      <c r="B9" s="1" t="s">
        <v>109</v>
      </c>
      <c r="C9" s="1">
        <v>13.0</v>
      </c>
      <c r="D9" s="1" t="s">
        <v>869</v>
      </c>
      <c r="E9" s="1" t="s">
        <v>785</v>
      </c>
      <c r="F9" s="1" t="s">
        <v>788</v>
      </c>
      <c r="G9" s="1" t="s">
        <v>871</v>
      </c>
      <c r="H9" s="1" t="s">
        <v>871</v>
      </c>
      <c r="I9" s="1" t="s">
        <v>21</v>
      </c>
      <c r="J9" s="1" t="s">
        <v>874</v>
      </c>
      <c r="K9" s="2">
        <v>-68.8396669</v>
      </c>
      <c r="L9" s="2">
        <v>-32.890372</v>
      </c>
    </row>
    <row r="10">
      <c r="A10" s="1">
        <v>665.0</v>
      </c>
      <c r="B10" s="1" t="s">
        <v>36</v>
      </c>
      <c r="C10" s="1">
        <v>1.0</v>
      </c>
      <c r="D10" s="1" t="s">
        <v>879</v>
      </c>
      <c r="E10" s="1" t="s">
        <v>785</v>
      </c>
      <c r="F10" s="1" t="s">
        <v>788</v>
      </c>
      <c r="G10" s="1" t="s">
        <v>881</v>
      </c>
      <c r="H10" s="1" t="s">
        <v>881</v>
      </c>
      <c r="I10" s="1" t="s">
        <v>21</v>
      </c>
      <c r="J10" s="1" t="s">
        <v>883</v>
      </c>
      <c r="K10" s="2">
        <v>-68.8375059</v>
      </c>
      <c r="L10" s="2">
        <v>-32.8841229</v>
      </c>
    </row>
    <row r="11">
      <c r="A11" s="1">
        <v>670.0</v>
      </c>
      <c r="B11" s="1" t="s">
        <v>36</v>
      </c>
      <c r="C11" s="1">
        <v>1.0</v>
      </c>
      <c r="D11" s="1" t="s">
        <v>885</v>
      </c>
      <c r="E11" s="1" t="s">
        <v>785</v>
      </c>
      <c r="F11" s="1" t="s">
        <v>788</v>
      </c>
      <c r="G11" s="1" t="s">
        <v>888</v>
      </c>
      <c r="H11" s="1" t="s">
        <v>888</v>
      </c>
      <c r="I11" s="1" t="s">
        <v>21</v>
      </c>
      <c r="J11" s="1" t="s">
        <v>889</v>
      </c>
      <c r="K11" s="2">
        <v>-68.8373704</v>
      </c>
      <c r="L11" s="2">
        <v>-32.8837252</v>
      </c>
    </row>
    <row r="12">
      <c r="A12" s="1">
        <v>673.0</v>
      </c>
      <c r="B12" s="1" t="s">
        <v>36</v>
      </c>
      <c r="C12" s="1">
        <v>2.0</v>
      </c>
      <c r="D12" s="1" t="s">
        <v>892</v>
      </c>
      <c r="E12" s="1" t="s">
        <v>785</v>
      </c>
      <c r="F12" s="1" t="s">
        <v>788</v>
      </c>
      <c r="G12" s="1" t="s">
        <v>894</v>
      </c>
      <c r="H12" s="1" t="s">
        <v>894</v>
      </c>
      <c r="I12" s="1" t="s">
        <v>21</v>
      </c>
      <c r="J12" s="1" t="s">
        <v>896</v>
      </c>
      <c r="K12" s="2">
        <v>-68.836793</v>
      </c>
      <c r="L12" s="2">
        <v>-32.8823859</v>
      </c>
    </row>
    <row r="13">
      <c r="A13" s="1">
        <v>743.0</v>
      </c>
      <c r="B13" s="1" t="s">
        <v>36</v>
      </c>
      <c r="C13" s="1">
        <v>11.0</v>
      </c>
      <c r="D13" s="1" t="s">
        <v>899</v>
      </c>
      <c r="E13" s="1" t="s">
        <v>785</v>
      </c>
      <c r="F13" s="1" t="s">
        <v>788</v>
      </c>
      <c r="G13" s="1" t="s">
        <v>900</v>
      </c>
      <c r="H13" s="1" t="s">
        <v>900</v>
      </c>
      <c r="I13" s="1" t="s">
        <v>21</v>
      </c>
      <c r="J13" s="1" t="s">
        <v>903</v>
      </c>
      <c r="K13" s="2">
        <v>-68.8364957</v>
      </c>
      <c r="L13" s="2">
        <v>-32.8788339</v>
      </c>
    </row>
    <row r="14">
      <c r="A14" s="1">
        <v>769.0</v>
      </c>
      <c r="B14" s="1" t="s">
        <v>36</v>
      </c>
      <c r="C14" s="1">
        <v>14.0</v>
      </c>
      <c r="D14" s="1" t="s">
        <v>905</v>
      </c>
      <c r="E14" s="1" t="s">
        <v>785</v>
      </c>
      <c r="F14" s="1" t="s">
        <v>788</v>
      </c>
      <c r="G14" s="1" t="s">
        <v>908</v>
      </c>
      <c r="H14" s="1" t="s">
        <v>908</v>
      </c>
      <c r="I14" s="1" t="s">
        <v>21</v>
      </c>
      <c r="J14" s="1" t="s">
        <v>910</v>
      </c>
      <c r="K14" s="2">
        <v>-68.8377794</v>
      </c>
      <c r="L14" s="2">
        <v>-32.88377130000001</v>
      </c>
    </row>
    <row r="15">
      <c r="A15" s="1">
        <v>770.0</v>
      </c>
      <c r="B15" s="1" t="s">
        <v>36</v>
      </c>
      <c r="C15" s="1">
        <v>14.0</v>
      </c>
      <c r="D15" s="1" t="s">
        <v>913</v>
      </c>
      <c r="E15" s="1" t="s">
        <v>785</v>
      </c>
      <c r="F15" s="1" t="s">
        <v>788</v>
      </c>
      <c r="G15" s="1" t="s">
        <v>915</v>
      </c>
      <c r="H15" s="1" t="s">
        <v>915</v>
      </c>
      <c r="I15" s="1" t="s">
        <v>21</v>
      </c>
      <c r="J15" s="1" t="s">
        <v>916</v>
      </c>
      <c r="K15" s="2">
        <v>-68.8377467</v>
      </c>
      <c r="L15" s="2">
        <v>-32.8836691</v>
      </c>
    </row>
    <row r="16">
      <c r="A16" s="1">
        <v>772.0</v>
      </c>
      <c r="B16" s="1" t="s">
        <v>36</v>
      </c>
      <c r="C16" s="1">
        <v>14.0</v>
      </c>
      <c r="D16" s="1" t="s">
        <v>920</v>
      </c>
      <c r="E16" s="1" t="s">
        <v>785</v>
      </c>
      <c r="F16" s="1" t="s">
        <v>788</v>
      </c>
      <c r="G16" s="1" t="s">
        <v>921</v>
      </c>
      <c r="H16" s="1" t="s">
        <v>921</v>
      </c>
      <c r="I16" s="1" t="s">
        <v>21</v>
      </c>
      <c r="J16" s="1" t="s">
        <v>923</v>
      </c>
      <c r="K16" s="2">
        <v>-68.8377241</v>
      </c>
      <c r="L16" s="2">
        <v>-32.8835541</v>
      </c>
    </row>
    <row r="17">
      <c r="A17" s="1">
        <v>778.0</v>
      </c>
      <c r="B17" s="1" t="s">
        <v>36</v>
      </c>
      <c r="C17" s="1">
        <v>14.0</v>
      </c>
      <c r="D17" s="1" t="s">
        <v>926</v>
      </c>
      <c r="E17" s="1" t="s">
        <v>785</v>
      </c>
      <c r="F17" s="1" t="s">
        <v>788</v>
      </c>
      <c r="G17" s="1" t="s">
        <v>927</v>
      </c>
      <c r="H17" s="1" t="s">
        <v>927</v>
      </c>
      <c r="I17" s="1" t="s">
        <v>21</v>
      </c>
      <c r="J17" s="1" t="s">
        <v>929</v>
      </c>
      <c r="K17" s="2">
        <v>-68.8375911</v>
      </c>
      <c r="L17" s="2">
        <v>-32.8830975</v>
      </c>
    </row>
    <row r="18">
      <c r="A18" s="1">
        <v>808.0</v>
      </c>
      <c r="B18" s="1" t="s">
        <v>55</v>
      </c>
      <c r="C18" s="1">
        <v>2.0</v>
      </c>
      <c r="D18" s="1" t="s">
        <v>932</v>
      </c>
      <c r="E18" s="1" t="s">
        <v>785</v>
      </c>
      <c r="F18" s="1" t="s">
        <v>788</v>
      </c>
      <c r="G18" s="1" t="s">
        <v>935</v>
      </c>
      <c r="H18" s="1" t="s">
        <v>935</v>
      </c>
      <c r="I18" s="1" t="s">
        <v>21</v>
      </c>
      <c r="J18" s="1" t="s">
        <v>936</v>
      </c>
      <c r="K18" s="2">
        <v>-68.8401137</v>
      </c>
      <c r="L18" s="2">
        <v>-32.8857842</v>
      </c>
    </row>
    <row r="19">
      <c r="A19" s="1">
        <v>814.0</v>
      </c>
      <c r="B19" s="1" t="s">
        <v>55</v>
      </c>
      <c r="C19" s="1">
        <v>3.0</v>
      </c>
      <c r="D19" s="1" t="s">
        <v>938</v>
      </c>
      <c r="E19" s="1" t="s">
        <v>785</v>
      </c>
      <c r="F19" s="1" t="s">
        <v>788</v>
      </c>
      <c r="G19" s="1" t="s">
        <v>939</v>
      </c>
      <c r="H19" s="1" t="s">
        <v>939</v>
      </c>
      <c r="I19" s="1" t="s">
        <v>21</v>
      </c>
      <c r="J19" s="1" t="s">
        <v>940</v>
      </c>
      <c r="K19" s="2">
        <v>-68.8410842</v>
      </c>
      <c r="L19" s="2">
        <v>-32.8855897</v>
      </c>
    </row>
    <row r="20">
      <c r="A20" s="1">
        <v>840.0</v>
      </c>
      <c r="B20" s="1" t="s">
        <v>55</v>
      </c>
      <c r="C20" s="1">
        <v>4.0</v>
      </c>
      <c r="D20" s="1" t="s">
        <v>932</v>
      </c>
      <c r="E20" s="1" t="s">
        <v>785</v>
      </c>
      <c r="F20" s="1" t="s">
        <v>788</v>
      </c>
      <c r="G20" s="1" t="s">
        <v>944</v>
      </c>
      <c r="H20" s="1" t="s">
        <v>944</v>
      </c>
      <c r="I20" s="1" t="s">
        <v>21</v>
      </c>
      <c r="J20" s="1" t="s">
        <v>945</v>
      </c>
      <c r="K20" s="2">
        <v>-68.842787</v>
      </c>
      <c r="L20" s="2">
        <v>-32.885323</v>
      </c>
    </row>
    <row r="21">
      <c r="A21" s="1">
        <v>847.0</v>
      </c>
      <c r="B21" s="1" t="s">
        <v>55</v>
      </c>
      <c r="C21" s="1">
        <v>5.0</v>
      </c>
      <c r="D21" s="1" t="s">
        <v>950</v>
      </c>
      <c r="E21" s="1" t="s">
        <v>785</v>
      </c>
      <c r="F21" s="1" t="s">
        <v>788</v>
      </c>
      <c r="G21" s="1" t="s">
        <v>58</v>
      </c>
      <c r="H21" s="1" t="s">
        <v>58</v>
      </c>
      <c r="I21" s="1" t="s">
        <v>21</v>
      </c>
      <c r="J21" s="1" t="s">
        <v>61</v>
      </c>
      <c r="K21" s="2">
        <v>-68.8427871</v>
      </c>
      <c r="L21" s="2">
        <v>-32.8854809</v>
      </c>
    </row>
    <row r="22">
      <c r="A22" s="1">
        <v>864.0</v>
      </c>
      <c r="B22" s="1" t="s">
        <v>55</v>
      </c>
      <c r="C22" s="1">
        <v>6.0</v>
      </c>
      <c r="D22" s="1" t="s">
        <v>954</v>
      </c>
      <c r="E22" s="1" t="s">
        <v>785</v>
      </c>
      <c r="F22" s="1" t="s">
        <v>788</v>
      </c>
      <c r="G22" s="1" t="s">
        <v>955</v>
      </c>
      <c r="H22" s="1" t="s">
        <v>955</v>
      </c>
      <c r="I22" s="1" t="s">
        <v>21</v>
      </c>
      <c r="J22" s="1" t="s">
        <v>959</v>
      </c>
      <c r="K22" s="2">
        <v>-68.8453541</v>
      </c>
      <c r="L22" s="2">
        <v>-32.8848751</v>
      </c>
    </row>
    <row r="23">
      <c r="A23" s="1">
        <v>874.0</v>
      </c>
      <c r="B23" s="1" t="s">
        <v>55</v>
      </c>
      <c r="C23" s="1">
        <v>7.0</v>
      </c>
      <c r="D23" s="1" t="s">
        <v>961</v>
      </c>
      <c r="E23" s="1" t="s">
        <v>785</v>
      </c>
      <c r="F23" s="1" t="s">
        <v>788</v>
      </c>
      <c r="G23" s="1" t="s">
        <v>963</v>
      </c>
      <c r="H23" s="1" t="s">
        <v>964</v>
      </c>
      <c r="I23" s="1" t="s">
        <v>21</v>
      </c>
      <c r="J23" s="1" t="s">
        <v>966</v>
      </c>
      <c r="K23" s="2">
        <v>-68.8466011</v>
      </c>
      <c r="L23" s="2">
        <v>-32.8846316</v>
      </c>
    </row>
    <row r="24">
      <c r="A24" s="1">
        <v>878.0</v>
      </c>
      <c r="B24" s="1" t="s">
        <v>55</v>
      </c>
      <c r="C24" s="1">
        <v>7.0</v>
      </c>
      <c r="D24" s="1" t="s">
        <v>968</v>
      </c>
      <c r="E24" s="1" t="s">
        <v>785</v>
      </c>
      <c r="F24" s="1" t="s">
        <v>788</v>
      </c>
      <c r="G24" s="1" t="s">
        <v>969</v>
      </c>
      <c r="H24" s="1" t="s">
        <v>970</v>
      </c>
      <c r="I24" s="1" t="s">
        <v>21</v>
      </c>
      <c r="J24" s="1" t="s">
        <v>971</v>
      </c>
      <c r="K24" s="2">
        <v>-68.8467096</v>
      </c>
      <c r="L24" s="2">
        <v>-32.8846222</v>
      </c>
    </row>
    <row r="25">
      <c r="A25" s="1">
        <v>928.0</v>
      </c>
      <c r="B25" s="1" t="s">
        <v>55</v>
      </c>
      <c r="C25" s="1">
        <v>14.0</v>
      </c>
      <c r="D25" s="1" t="s">
        <v>973</v>
      </c>
      <c r="E25" s="1" t="s">
        <v>785</v>
      </c>
      <c r="F25" s="1" t="s">
        <v>788</v>
      </c>
      <c r="G25" s="1" t="s">
        <v>974</v>
      </c>
      <c r="H25" s="1" t="s">
        <v>974</v>
      </c>
      <c r="I25" s="1" t="s">
        <v>21</v>
      </c>
      <c r="J25" s="1" t="s">
        <v>975</v>
      </c>
      <c r="K25" s="2">
        <v>-68.8413559</v>
      </c>
      <c r="L25" s="2">
        <v>-32.8858959</v>
      </c>
    </row>
    <row r="26">
      <c r="A26" s="1">
        <v>946.0</v>
      </c>
      <c r="B26" s="1" t="s">
        <v>55</v>
      </c>
      <c r="C26" s="1">
        <v>15.0</v>
      </c>
      <c r="D26" s="1" t="s">
        <v>977</v>
      </c>
      <c r="E26" s="1" t="s">
        <v>785</v>
      </c>
      <c r="F26" s="1" t="s">
        <v>788</v>
      </c>
      <c r="G26" s="1" t="s">
        <v>978</v>
      </c>
      <c r="H26" s="1" t="s">
        <v>978</v>
      </c>
      <c r="I26" s="1" t="s">
        <v>21</v>
      </c>
      <c r="J26" s="1" t="s">
        <v>980</v>
      </c>
      <c r="K26" s="2">
        <v>-68.840599</v>
      </c>
      <c r="L26" s="2">
        <v>-32.886102</v>
      </c>
    </row>
    <row r="27">
      <c r="A27" s="1">
        <v>958.0</v>
      </c>
      <c r="B27" s="1" t="s">
        <v>55</v>
      </c>
      <c r="C27" s="1">
        <v>16.0</v>
      </c>
      <c r="D27" s="1" t="s">
        <v>982</v>
      </c>
      <c r="E27" s="1" t="s">
        <v>785</v>
      </c>
      <c r="F27" s="1" t="s">
        <v>788</v>
      </c>
      <c r="G27" s="1" t="s">
        <v>983</v>
      </c>
      <c r="H27" s="1" t="s">
        <v>983</v>
      </c>
      <c r="I27" s="1" t="s">
        <v>21</v>
      </c>
      <c r="J27" s="1" t="s">
        <v>984</v>
      </c>
      <c r="K27" s="2">
        <v>-68.839174</v>
      </c>
      <c r="L27" s="2">
        <v>-32.886316</v>
      </c>
    </row>
    <row r="28">
      <c r="A28" s="1">
        <v>985.0</v>
      </c>
      <c r="B28" s="1" t="s">
        <v>62</v>
      </c>
      <c r="C28" s="1">
        <v>3.0</v>
      </c>
      <c r="D28" s="1" t="s">
        <v>987</v>
      </c>
      <c r="E28" s="1" t="s">
        <v>785</v>
      </c>
      <c r="F28" s="1" t="s">
        <v>788</v>
      </c>
      <c r="G28" s="1" t="s">
        <v>988</v>
      </c>
      <c r="H28" s="1" t="s">
        <v>988</v>
      </c>
      <c r="I28" s="1" t="s">
        <v>21</v>
      </c>
      <c r="J28" s="1" t="s">
        <v>990</v>
      </c>
      <c r="K28" s="2">
        <v>-68.84405939999999</v>
      </c>
      <c r="L28" s="2">
        <v>-32.8941603</v>
      </c>
    </row>
    <row r="29">
      <c r="A29" s="1">
        <v>1032.0</v>
      </c>
      <c r="B29" s="1" t="s">
        <v>62</v>
      </c>
      <c r="C29" s="1">
        <v>9.0</v>
      </c>
      <c r="D29" s="1" t="s">
        <v>992</v>
      </c>
      <c r="E29" s="1" t="s">
        <v>785</v>
      </c>
      <c r="F29" s="1" t="s">
        <v>788</v>
      </c>
      <c r="G29" s="1" t="s">
        <v>993</v>
      </c>
      <c r="H29" s="1" t="s">
        <v>993</v>
      </c>
      <c r="I29" s="1" t="s">
        <v>21</v>
      </c>
      <c r="J29" s="1" t="s">
        <v>994</v>
      </c>
      <c r="K29" s="2">
        <v>-68.849594</v>
      </c>
      <c r="L29" s="2">
        <v>-32.893371</v>
      </c>
    </row>
    <row r="30">
      <c r="A30" s="1">
        <v>1082.0</v>
      </c>
      <c r="B30" s="1" t="s">
        <v>62</v>
      </c>
      <c r="C30" s="1">
        <v>13.0</v>
      </c>
      <c r="D30" s="1" t="s">
        <v>982</v>
      </c>
      <c r="E30" s="1" t="s">
        <v>785</v>
      </c>
      <c r="F30" s="1" t="s">
        <v>788</v>
      </c>
      <c r="G30" s="1" t="s">
        <v>998</v>
      </c>
      <c r="H30" s="1" t="s">
        <v>998</v>
      </c>
      <c r="I30" s="1" t="s">
        <v>21</v>
      </c>
      <c r="J30" s="1" t="s">
        <v>999</v>
      </c>
      <c r="K30" s="2">
        <v>-68.8446307</v>
      </c>
      <c r="L30" s="2">
        <v>-32.8943717</v>
      </c>
    </row>
    <row r="31">
      <c r="A31" s="1">
        <v>1109.0</v>
      </c>
      <c r="B31" s="1" t="s">
        <v>120</v>
      </c>
      <c r="C31" s="1">
        <v>1.0</v>
      </c>
      <c r="D31" s="1" t="s">
        <v>1002</v>
      </c>
      <c r="E31" s="1" t="s">
        <v>785</v>
      </c>
      <c r="F31" s="1" t="s">
        <v>788</v>
      </c>
      <c r="G31" s="1" t="s">
        <v>1004</v>
      </c>
      <c r="H31" s="1" t="s">
        <v>1005</v>
      </c>
      <c r="I31" s="1" t="s">
        <v>21</v>
      </c>
      <c r="J31" s="1" t="s">
        <v>1006</v>
      </c>
      <c r="K31" s="2">
        <v>-68.8396413</v>
      </c>
      <c r="L31" s="2">
        <v>-32.8893426</v>
      </c>
    </row>
    <row r="32">
      <c r="A32" s="1">
        <v>1220.0</v>
      </c>
      <c r="B32" s="1" t="s">
        <v>227</v>
      </c>
      <c r="C32" s="1">
        <v>7.0</v>
      </c>
      <c r="D32" s="1" t="s">
        <v>1010</v>
      </c>
      <c r="E32" s="1" t="s">
        <v>785</v>
      </c>
      <c r="F32" s="1" t="s">
        <v>788</v>
      </c>
      <c r="G32" s="1" t="s">
        <v>1012</v>
      </c>
      <c r="H32" s="1" t="s">
        <v>1012</v>
      </c>
      <c r="I32" s="1" t="s">
        <v>21</v>
      </c>
      <c r="J32" s="1" t="s">
        <v>1014</v>
      </c>
      <c r="K32" s="2">
        <v>-68.8421298</v>
      </c>
      <c r="L32" s="2">
        <v>-32.88351230000001</v>
      </c>
    </row>
    <row r="33">
      <c r="A33" s="1">
        <v>1223.0</v>
      </c>
      <c r="B33" s="1" t="s">
        <v>227</v>
      </c>
      <c r="C33" s="1">
        <v>8.0</v>
      </c>
      <c r="D33" s="1" t="s">
        <v>1016</v>
      </c>
      <c r="E33" s="1" t="s">
        <v>785</v>
      </c>
      <c r="F33" s="1" t="s">
        <v>788</v>
      </c>
      <c r="G33" s="1" t="s">
        <v>1018</v>
      </c>
      <c r="H33" s="1" t="s">
        <v>1018</v>
      </c>
      <c r="I33" s="1" t="s">
        <v>21</v>
      </c>
      <c r="J33" s="1" t="s">
        <v>1020</v>
      </c>
      <c r="K33" s="2">
        <v>-68.8192262</v>
      </c>
      <c r="L33" s="2">
        <v>-32.8634957</v>
      </c>
    </row>
    <row r="34">
      <c r="A34" s="1">
        <v>1224.0</v>
      </c>
      <c r="B34" s="1" t="s">
        <v>227</v>
      </c>
      <c r="C34" s="1">
        <v>8.0</v>
      </c>
      <c r="D34" s="1" t="s">
        <v>1023</v>
      </c>
      <c r="E34" s="1" t="s">
        <v>785</v>
      </c>
      <c r="F34" s="1" t="s">
        <v>788</v>
      </c>
      <c r="G34" s="1" t="s">
        <v>1026</v>
      </c>
      <c r="H34" s="1" t="s">
        <v>1026</v>
      </c>
      <c r="I34" s="1" t="s">
        <v>21</v>
      </c>
      <c r="J34" s="1" t="s">
        <v>1028</v>
      </c>
      <c r="K34" s="2">
        <v>-68.8413113</v>
      </c>
      <c r="L34" s="2">
        <v>-32.8835371</v>
      </c>
    </row>
    <row r="35">
      <c r="A35" s="1">
        <v>1237.0</v>
      </c>
      <c r="B35" s="1" t="s">
        <v>227</v>
      </c>
      <c r="C35" s="1">
        <v>10.0</v>
      </c>
      <c r="D35" s="1" t="s">
        <v>273</v>
      </c>
      <c r="E35" s="1" t="s">
        <v>785</v>
      </c>
      <c r="F35" s="1" t="s">
        <v>788</v>
      </c>
      <c r="G35" s="1" t="s">
        <v>1031</v>
      </c>
      <c r="H35" s="1" t="s">
        <v>1031</v>
      </c>
      <c r="I35" s="1" t="s">
        <v>21</v>
      </c>
      <c r="J35" s="1" t="s">
        <v>1032</v>
      </c>
      <c r="K35" s="2">
        <v>-68.83867479999999</v>
      </c>
      <c r="L35" s="2">
        <v>-32.8840784</v>
      </c>
    </row>
    <row r="36">
      <c r="A36" s="1">
        <v>1297.0</v>
      </c>
      <c r="B36" s="1" t="s">
        <v>248</v>
      </c>
      <c r="C36" s="1">
        <v>8.0</v>
      </c>
      <c r="D36" s="1" t="s">
        <v>1036</v>
      </c>
      <c r="E36" s="1" t="s">
        <v>785</v>
      </c>
      <c r="F36" s="1" t="s">
        <v>788</v>
      </c>
      <c r="G36" s="1" t="s">
        <v>1037</v>
      </c>
      <c r="H36" s="1" t="s">
        <v>1037</v>
      </c>
      <c r="I36" s="1" t="s">
        <v>21</v>
      </c>
      <c r="J36" s="1" t="s">
        <v>1039</v>
      </c>
      <c r="K36" s="2">
        <v>-68.842625</v>
      </c>
      <c r="L36" s="2">
        <v>-32.892153</v>
      </c>
    </row>
    <row r="37">
      <c r="A37" s="1">
        <v>1328.0</v>
      </c>
      <c r="B37" s="1" t="s">
        <v>248</v>
      </c>
      <c r="C37" s="1">
        <v>14.0</v>
      </c>
      <c r="D37" s="1" t="s">
        <v>1042</v>
      </c>
      <c r="E37" s="1" t="s">
        <v>785</v>
      </c>
      <c r="F37" s="1" t="s">
        <v>788</v>
      </c>
      <c r="G37" s="1" t="s">
        <v>549</v>
      </c>
      <c r="H37" s="1" t="s">
        <v>1043</v>
      </c>
      <c r="I37" s="1" t="s">
        <v>21</v>
      </c>
      <c r="J37" s="1" t="s">
        <v>552</v>
      </c>
      <c r="K37" s="2">
        <v>-68.8458386</v>
      </c>
      <c r="L37" s="2">
        <v>-32.8894587</v>
      </c>
    </row>
    <row r="38">
      <c r="A38" s="1">
        <v>1607.0</v>
      </c>
      <c r="D38" s="1" t="s">
        <v>1047</v>
      </c>
      <c r="E38" s="1" t="s">
        <v>785</v>
      </c>
      <c r="F38" s="1" t="s">
        <v>788</v>
      </c>
      <c r="G38" s="1" t="s">
        <v>1049</v>
      </c>
      <c r="I38" s="1" t="s">
        <v>21</v>
      </c>
      <c r="J38" s="1" t="s">
        <v>1051</v>
      </c>
      <c r="K38" s="2">
        <v>-68.8395875</v>
      </c>
      <c r="L38" s="2">
        <v>-32.8904406</v>
      </c>
    </row>
    <row r="39">
      <c r="A39" s="1">
        <v>1609.0</v>
      </c>
      <c r="D39" s="1" t="s">
        <v>1053</v>
      </c>
      <c r="E39" s="1" t="s">
        <v>785</v>
      </c>
      <c r="F39" s="1" t="s">
        <v>788</v>
      </c>
      <c r="G39" s="1" t="s">
        <v>1055</v>
      </c>
      <c r="I39" s="1" t="s">
        <v>21</v>
      </c>
      <c r="J39" s="1" t="s">
        <v>1057</v>
      </c>
      <c r="K39" s="2">
        <v>-68.8395215</v>
      </c>
      <c r="L39" s="2">
        <v>-32.8901412</v>
      </c>
    </row>
    <row r="40">
      <c r="A40" s="1">
        <v>254.0</v>
      </c>
      <c r="B40" s="1" t="s">
        <v>29</v>
      </c>
      <c r="C40" s="1">
        <v>16.0</v>
      </c>
      <c r="D40" s="1" t="s">
        <v>1059</v>
      </c>
      <c r="E40" s="1" t="s">
        <v>785</v>
      </c>
      <c r="F40" s="1" t="s">
        <v>1060</v>
      </c>
      <c r="G40" s="3" t="s">
        <v>1067</v>
      </c>
      <c r="H40" s="3" t="s">
        <v>1067</v>
      </c>
      <c r="I40" s="1" t="s">
        <v>21</v>
      </c>
      <c r="J40" s="1" t="s">
        <v>1068</v>
      </c>
      <c r="K40" s="2">
        <v>-68.83906929999999</v>
      </c>
      <c r="L40" s="2">
        <v>-32.8846677</v>
      </c>
    </row>
    <row r="41">
      <c r="A41" s="1">
        <v>572.0</v>
      </c>
      <c r="B41" s="1" t="s">
        <v>109</v>
      </c>
      <c r="C41" s="1">
        <v>8.0</v>
      </c>
      <c r="D41" s="1" t="s">
        <v>1069</v>
      </c>
      <c r="E41" s="1" t="s">
        <v>785</v>
      </c>
      <c r="F41" s="1" t="s">
        <v>1060</v>
      </c>
      <c r="G41" s="1" t="s">
        <v>1070</v>
      </c>
      <c r="H41" s="1" t="s">
        <v>1070</v>
      </c>
      <c r="I41" s="1" t="s">
        <v>21</v>
      </c>
      <c r="J41" s="1" t="s">
        <v>1071</v>
      </c>
      <c r="K41" s="2">
        <v>-68.8381059</v>
      </c>
      <c r="L41" s="2">
        <v>-32.8848106</v>
      </c>
    </row>
    <row r="42">
      <c r="A42" s="1">
        <v>577.0</v>
      </c>
      <c r="B42" s="1" t="s">
        <v>109</v>
      </c>
      <c r="C42" s="1">
        <v>9.0</v>
      </c>
      <c r="D42" s="1" t="s">
        <v>1072</v>
      </c>
      <c r="E42" s="1" t="s">
        <v>785</v>
      </c>
      <c r="F42" s="1" t="s">
        <v>1060</v>
      </c>
      <c r="G42" s="1" t="s">
        <v>1073</v>
      </c>
      <c r="H42" s="1" t="s">
        <v>1073</v>
      </c>
      <c r="I42" s="1" t="s">
        <v>21</v>
      </c>
      <c r="J42" s="1" t="s">
        <v>1074</v>
      </c>
      <c r="K42" s="2">
        <v>-68.8382445</v>
      </c>
      <c r="L42" s="2">
        <v>-32.8855241</v>
      </c>
    </row>
    <row r="43">
      <c r="A43" s="1">
        <v>671.0</v>
      </c>
      <c r="B43" s="1" t="s">
        <v>36</v>
      </c>
      <c r="C43" s="1">
        <v>2.0</v>
      </c>
      <c r="D43" s="1" t="s">
        <v>1075</v>
      </c>
      <c r="E43" s="1" t="s">
        <v>785</v>
      </c>
      <c r="F43" s="1" t="s">
        <v>1060</v>
      </c>
      <c r="G43" s="1" t="s">
        <v>1076</v>
      </c>
      <c r="H43" s="1" t="s">
        <v>1076</v>
      </c>
      <c r="I43" s="1" t="s">
        <v>21</v>
      </c>
      <c r="J43" s="1" t="s">
        <v>1077</v>
      </c>
      <c r="K43" s="2">
        <v>-68.836883</v>
      </c>
      <c r="L43" s="2">
        <v>-32.882675</v>
      </c>
    </row>
    <row r="44">
      <c r="A44" s="1">
        <v>771.0</v>
      </c>
      <c r="B44" s="1" t="s">
        <v>36</v>
      </c>
      <c r="C44" s="1">
        <v>14.0</v>
      </c>
      <c r="D44" s="1" t="s">
        <v>1078</v>
      </c>
      <c r="E44" s="1" t="s">
        <v>785</v>
      </c>
      <c r="F44" s="1" t="s">
        <v>1060</v>
      </c>
      <c r="G44" s="1" t="s">
        <v>1079</v>
      </c>
      <c r="H44" s="1" t="s">
        <v>1079</v>
      </c>
      <c r="I44" s="1" t="s">
        <v>21</v>
      </c>
      <c r="J44" s="1" t="s">
        <v>1080</v>
      </c>
      <c r="K44" s="2">
        <v>-68.8378486</v>
      </c>
      <c r="L44" s="2">
        <v>-32.8835312</v>
      </c>
    </row>
    <row r="45">
      <c r="A45" s="1">
        <v>773.0</v>
      </c>
      <c r="B45" s="1" t="s">
        <v>36</v>
      </c>
      <c r="C45" s="1">
        <v>14.0</v>
      </c>
      <c r="D45" s="1" t="s">
        <v>1081</v>
      </c>
      <c r="E45" s="1" t="s">
        <v>785</v>
      </c>
      <c r="F45" s="1" t="s">
        <v>1060</v>
      </c>
      <c r="G45" s="1" t="s">
        <v>1082</v>
      </c>
      <c r="H45" s="1" t="s">
        <v>1082</v>
      </c>
      <c r="I45" s="1" t="s">
        <v>21</v>
      </c>
      <c r="J45" s="1" t="s">
        <v>1083</v>
      </c>
      <c r="K45" s="2">
        <v>-68.8376741</v>
      </c>
      <c r="L45" s="2">
        <v>-32.8835267</v>
      </c>
    </row>
    <row r="46">
      <c r="A46" s="1">
        <v>777.0</v>
      </c>
      <c r="B46" s="1" t="s">
        <v>36</v>
      </c>
      <c r="C46" s="1">
        <v>14.0</v>
      </c>
      <c r="D46" s="1" t="s">
        <v>1084</v>
      </c>
      <c r="E46" s="1" t="s">
        <v>785</v>
      </c>
      <c r="F46" s="1" t="s">
        <v>1060</v>
      </c>
      <c r="G46" s="1" t="s">
        <v>1085</v>
      </c>
      <c r="H46" s="1" t="s">
        <v>1085</v>
      </c>
      <c r="I46" s="1" t="s">
        <v>21</v>
      </c>
      <c r="J46" s="1" t="s">
        <v>1086</v>
      </c>
      <c r="K46" s="2">
        <v>-68.8377065</v>
      </c>
      <c r="L46" s="2">
        <v>-32.8832162</v>
      </c>
    </row>
    <row r="47">
      <c r="A47" s="1">
        <v>779.0</v>
      </c>
      <c r="B47" s="1" t="s">
        <v>36</v>
      </c>
      <c r="C47" s="1">
        <v>14.0</v>
      </c>
      <c r="D47" s="1" t="s">
        <v>1087</v>
      </c>
      <c r="E47" s="1" t="s">
        <v>785</v>
      </c>
      <c r="F47" s="1" t="s">
        <v>1060</v>
      </c>
      <c r="G47" s="1" t="s">
        <v>1088</v>
      </c>
      <c r="H47" s="1" t="s">
        <v>1088</v>
      </c>
      <c r="I47" s="1" t="s">
        <v>21</v>
      </c>
      <c r="J47" s="1" t="s">
        <v>1089</v>
      </c>
      <c r="K47" s="2">
        <v>-68.83762519999999</v>
      </c>
      <c r="L47" s="2">
        <v>-32.8829041</v>
      </c>
    </row>
    <row r="48">
      <c r="A48" s="1">
        <v>781.0</v>
      </c>
      <c r="B48" s="1" t="s">
        <v>36</v>
      </c>
      <c r="C48" s="1">
        <v>14.0</v>
      </c>
      <c r="D48" s="1" t="s">
        <v>1090</v>
      </c>
      <c r="E48" s="1" t="s">
        <v>785</v>
      </c>
      <c r="F48" s="1" t="s">
        <v>1060</v>
      </c>
      <c r="G48" s="1" t="s">
        <v>1091</v>
      </c>
      <c r="H48" s="1" t="s">
        <v>1091</v>
      </c>
      <c r="I48" s="1" t="s">
        <v>21</v>
      </c>
      <c r="J48" s="1" t="s">
        <v>1092</v>
      </c>
      <c r="K48" s="2">
        <v>-68.8375125</v>
      </c>
      <c r="L48" s="2">
        <v>-32.8825316</v>
      </c>
    </row>
    <row r="49">
      <c r="A49" s="1">
        <v>1198.0</v>
      </c>
      <c r="B49" s="1" t="s">
        <v>227</v>
      </c>
      <c r="C49" s="1">
        <v>2.0</v>
      </c>
      <c r="D49" s="1" t="s">
        <v>1093</v>
      </c>
      <c r="E49" s="1" t="s">
        <v>785</v>
      </c>
      <c r="F49" s="1" t="s">
        <v>1060</v>
      </c>
      <c r="G49" s="1" t="s">
        <v>1094</v>
      </c>
      <c r="H49" s="1" t="s">
        <v>1094</v>
      </c>
      <c r="I49" s="1" t="s">
        <v>21</v>
      </c>
      <c r="J49" s="1" t="s">
        <v>1095</v>
      </c>
      <c r="K49" s="2">
        <v>-68.83971269999999</v>
      </c>
      <c r="L49" s="2">
        <v>-32.8837008</v>
      </c>
    </row>
    <row r="50">
      <c r="A50" s="1">
        <v>1573.0</v>
      </c>
      <c r="D50" s="1" t="s">
        <v>1096</v>
      </c>
      <c r="E50" s="1" t="s">
        <v>785</v>
      </c>
      <c r="F50" s="1" t="s">
        <v>1060</v>
      </c>
      <c r="G50" s="1" t="s">
        <v>1097</v>
      </c>
      <c r="I50" s="1" t="s">
        <v>21</v>
      </c>
      <c r="J50" s="1" t="s">
        <v>1098</v>
      </c>
      <c r="K50" s="2">
        <v>-68.8379358</v>
      </c>
      <c r="L50" s="2">
        <v>-32.8844478</v>
      </c>
    </row>
    <row r="51">
      <c r="A51" s="1">
        <v>21.0</v>
      </c>
      <c r="B51" s="1" t="s">
        <v>12</v>
      </c>
      <c r="C51" s="1">
        <v>5.0</v>
      </c>
      <c r="D51" s="1" t="s">
        <v>1099</v>
      </c>
      <c r="E51" s="1" t="s">
        <v>785</v>
      </c>
      <c r="F51" s="1" t="s">
        <v>1100</v>
      </c>
      <c r="G51" s="1" t="s">
        <v>1101</v>
      </c>
      <c r="H51" s="1" t="s">
        <v>1101</v>
      </c>
      <c r="I51" s="1" t="s">
        <v>21</v>
      </c>
      <c r="J51" s="1" t="s">
        <v>1102</v>
      </c>
      <c r="K51" s="2">
        <v>-68.8554516</v>
      </c>
      <c r="L51" s="2">
        <v>-32.883609</v>
      </c>
    </row>
    <row r="52">
      <c r="A52" s="1">
        <v>88.0</v>
      </c>
      <c r="B52" s="1" t="s">
        <v>12</v>
      </c>
      <c r="C52" s="1">
        <v>16.0</v>
      </c>
      <c r="D52" s="1" t="s">
        <v>1106</v>
      </c>
      <c r="E52" s="1" t="s">
        <v>785</v>
      </c>
      <c r="F52" s="1" t="s">
        <v>1100</v>
      </c>
      <c r="G52" s="1" t="s">
        <v>1107</v>
      </c>
      <c r="H52" s="1" t="s">
        <v>1107</v>
      </c>
      <c r="I52" s="1" t="s">
        <v>21</v>
      </c>
      <c r="J52" s="1" t="s">
        <v>1108</v>
      </c>
      <c r="K52" s="2">
        <v>-68.850064</v>
      </c>
      <c r="L52" s="2">
        <v>-32.884327</v>
      </c>
    </row>
    <row r="53">
      <c r="A53" s="1">
        <v>439.0</v>
      </c>
      <c r="B53" s="1" t="s">
        <v>24</v>
      </c>
      <c r="C53" s="1">
        <v>10.0</v>
      </c>
      <c r="D53" s="1" t="s">
        <v>1110</v>
      </c>
      <c r="E53" s="1" t="s">
        <v>785</v>
      </c>
      <c r="F53" s="1" t="s">
        <v>1100</v>
      </c>
      <c r="G53" s="1" t="s">
        <v>1112</v>
      </c>
      <c r="H53" s="1" t="s">
        <v>1112</v>
      </c>
      <c r="I53" s="1" t="s">
        <v>21</v>
      </c>
      <c r="J53" s="1" t="s">
        <v>1113</v>
      </c>
      <c r="K53" s="2">
        <v>-68.857727</v>
      </c>
      <c r="L53" s="2">
        <v>-32.8919549</v>
      </c>
    </row>
    <row r="54">
      <c r="A54" s="1">
        <v>480.0</v>
      </c>
      <c r="B54" s="1" t="s">
        <v>24</v>
      </c>
      <c r="C54" s="1">
        <v>13.0</v>
      </c>
      <c r="D54" s="1" t="s">
        <v>1114</v>
      </c>
      <c r="E54" s="1" t="s">
        <v>785</v>
      </c>
      <c r="F54" s="1" t="s">
        <v>1100</v>
      </c>
      <c r="G54" s="1" t="s">
        <v>1115</v>
      </c>
      <c r="H54" s="1" t="s">
        <v>1115</v>
      </c>
      <c r="I54" s="1" t="s">
        <v>21</v>
      </c>
      <c r="J54" s="1" t="s">
        <v>1117</v>
      </c>
      <c r="K54" s="2">
        <v>-68.851658</v>
      </c>
      <c r="L54" s="2">
        <v>-32.893096</v>
      </c>
    </row>
    <row r="55">
      <c r="A55" s="1">
        <v>528.0</v>
      </c>
      <c r="B55" s="1" t="s">
        <v>109</v>
      </c>
      <c r="C55" s="1">
        <v>6.0</v>
      </c>
      <c r="D55" s="1" t="s">
        <v>1119</v>
      </c>
      <c r="E55" s="1" t="s">
        <v>785</v>
      </c>
      <c r="F55" s="1" t="s">
        <v>1100</v>
      </c>
      <c r="G55" s="1" t="s">
        <v>1120</v>
      </c>
      <c r="H55" s="1" t="s">
        <v>1120</v>
      </c>
      <c r="I55" s="1" t="s">
        <v>21</v>
      </c>
      <c r="J55" s="1" t="s">
        <v>1121</v>
      </c>
      <c r="K55" s="2">
        <v>-68.838145</v>
      </c>
      <c r="L55" s="2">
        <v>-32.886627</v>
      </c>
    </row>
    <row r="56">
      <c r="A56" s="1">
        <v>547.0</v>
      </c>
      <c r="B56" s="1" t="s">
        <v>109</v>
      </c>
      <c r="C56" s="1">
        <v>7.0</v>
      </c>
      <c r="D56" s="1" t="s">
        <v>977</v>
      </c>
      <c r="E56" s="1" t="s">
        <v>785</v>
      </c>
      <c r="F56" s="1" t="s">
        <v>1100</v>
      </c>
      <c r="G56" s="1" t="s">
        <v>1124</v>
      </c>
      <c r="H56" s="1" t="s">
        <v>1124</v>
      </c>
      <c r="I56" s="1" t="s">
        <v>21</v>
      </c>
      <c r="J56" s="1" t="s">
        <v>1125</v>
      </c>
      <c r="K56" s="2">
        <v>-68.8378419</v>
      </c>
      <c r="L56" s="2">
        <v>-32.885284</v>
      </c>
    </row>
    <row r="57">
      <c r="A57" s="1">
        <v>565.0</v>
      </c>
      <c r="B57" s="1" t="s">
        <v>109</v>
      </c>
      <c r="C57" s="1">
        <v>8.0</v>
      </c>
      <c r="D57" s="1" t="s">
        <v>1128</v>
      </c>
      <c r="E57" s="1" t="s">
        <v>785</v>
      </c>
      <c r="F57" s="1" t="s">
        <v>1100</v>
      </c>
      <c r="G57" s="1" t="s">
        <v>1130</v>
      </c>
      <c r="H57" s="1" t="s">
        <v>1132</v>
      </c>
      <c r="I57" s="1" t="s">
        <v>21</v>
      </c>
      <c r="J57" s="1" t="s">
        <v>1133</v>
      </c>
      <c r="K57" s="2">
        <v>-68.8380909</v>
      </c>
      <c r="L57" s="2">
        <v>-32.8847533</v>
      </c>
    </row>
    <row r="58">
      <c r="A58" s="1">
        <v>662.0</v>
      </c>
      <c r="B58" s="1" t="s">
        <v>36</v>
      </c>
      <c r="C58" s="1">
        <v>1.0</v>
      </c>
      <c r="D58" s="1" t="s">
        <v>1134</v>
      </c>
      <c r="E58" s="1" t="s">
        <v>785</v>
      </c>
      <c r="F58" s="1" t="s">
        <v>1100</v>
      </c>
      <c r="G58" s="1" t="s">
        <v>1136</v>
      </c>
      <c r="H58" s="1" t="s">
        <v>1138</v>
      </c>
      <c r="I58" s="1" t="s">
        <v>21</v>
      </c>
      <c r="J58" s="1" t="s">
        <v>1139</v>
      </c>
      <c r="K58" s="2">
        <v>-68.837564</v>
      </c>
      <c r="L58" s="2">
        <v>-32.884205</v>
      </c>
    </row>
    <row r="59">
      <c r="A59" s="1">
        <v>672.0</v>
      </c>
      <c r="B59" s="1" t="s">
        <v>36</v>
      </c>
      <c r="C59" s="1">
        <v>2.0</v>
      </c>
      <c r="D59" s="1" t="s">
        <v>1141</v>
      </c>
      <c r="E59" s="1" t="s">
        <v>785</v>
      </c>
      <c r="F59" s="1" t="s">
        <v>1100</v>
      </c>
      <c r="G59" s="1" t="s">
        <v>1143</v>
      </c>
      <c r="H59" s="1" t="s">
        <v>1143</v>
      </c>
      <c r="I59" s="1" t="s">
        <v>21</v>
      </c>
      <c r="J59" s="1" t="s">
        <v>1145</v>
      </c>
      <c r="K59" s="2">
        <v>-68.8368809</v>
      </c>
      <c r="L59" s="2">
        <v>-32.882568</v>
      </c>
    </row>
    <row r="60">
      <c r="A60" s="1">
        <v>675.0</v>
      </c>
      <c r="B60" s="1" t="s">
        <v>36</v>
      </c>
      <c r="C60" s="1">
        <v>3.0</v>
      </c>
      <c r="D60" s="1" t="s">
        <v>1146</v>
      </c>
      <c r="E60" s="1" t="s">
        <v>785</v>
      </c>
      <c r="F60" s="1" t="s">
        <v>1100</v>
      </c>
      <c r="G60" s="1" t="s">
        <v>1148</v>
      </c>
      <c r="H60" s="1" t="s">
        <v>1148</v>
      </c>
      <c r="I60" s="1" t="s">
        <v>21</v>
      </c>
      <c r="J60" s="1" t="s">
        <v>1151</v>
      </c>
      <c r="K60" s="2">
        <v>-68.836782</v>
      </c>
      <c r="L60" s="2">
        <v>-32.882126</v>
      </c>
    </row>
    <row r="61">
      <c r="A61" s="1">
        <v>734.0</v>
      </c>
      <c r="B61" s="1" t="s">
        <v>36</v>
      </c>
      <c r="C61" s="1">
        <v>10.0</v>
      </c>
      <c r="D61" s="1" t="s">
        <v>1153</v>
      </c>
      <c r="E61" s="1" t="s">
        <v>785</v>
      </c>
      <c r="F61" s="1" t="s">
        <v>1100</v>
      </c>
      <c r="G61" s="1" t="s">
        <v>1155</v>
      </c>
      <c r="H61" s="1" t="s">
        <v>1155</v>
      </c>
      <c r="I61" s="1" t="s">
        <v>21</v>
      </c>
      <c r="J61" s="1" t="s">
        <v>1157</v>
      </c>
      <c r="K61" s="2">
        <v>-68.8363957</v>
      </c>
      <c r="L61" s="2">
        <v>-32.8783684</v>
      </c>
    </row>
    <row r="62">
      <c r="A62" s="1">
        <v>775.0</v>
      </c>
      <c r="B62" s="1" t="s">
        <v>36</v>
      </c>
      <c r="C62" s="1">
        <v>14.0</v>
      </c>
      <c r="D62" s="1" t="s">
        <v>1166</v>
      </c>
      <c r="E62" s="1" t="s">
        <v>785</v>
      </c>
      <c r="F62" s="1" t="s">
        <v>1100</v>
      </c>
      <c r="G62" s="1" t="s">
        <v>1168</v>
      </c>
      <c r="H62" s="1" t="s">
        <v>1168</v>
      </c>
      <c r="I62" s="1" t="s">
        <v>21</v>
      </c>
      <c r="J62" s="1" t="s">
        <v>1169</v>
      </c>
      <c r="K62" s="2">
        <v>-68.8376444</v>
      </c>
      <c r="L62" s="2">
        <v>-32.8833893</v>
      </c>
    </row>
    <row r="63">
      <c r="A63" s="1">
        <v>782.0</v>
      </c>
      <c r="B63" s="1" t="s">
        <v>36</v>
      </c>
      <c r="C63" s="1">
        <v>14.0</v>
      </c>
      <c r="D63" s="1" t="s">
        <v>1171</v>
      </c>
      <c r="E63" s="1" t="s">
        <v>785</v>
      </c>
      <c r="F63" s="1" t="s">
        <v>1100</v>
      </c>
      <c r="G63" s="1" t="s">
        <v>1173</v>
      </c>
      <c r="H63" s="1" t="s">
        <v>1174</v>
      </c>
      <c r="I63" s="1" t="s">
        <v>21</v>
      </c>
      <c r="J63" s="1" t="s">
        <v>1175</v>
      </c>
      <c r="K63" s="2">
        <v>-68.8374276</v>
      </c>
      <c r="L63" s="2">
        <v>-32.8825098</v>
      </c>
    </row>
    <row r="64">
      <c r="A64" s="1">
        <v>1022.0</v>
      </c>
      <c r="B64" s="1" t="s">
        <v>62</v>
      </c>
      <c r="C64" s="1">
        <v>7.0</v>
      </c>
      <c r="D64" s="1" t="s">
        <v>1177</v>
      </c>
      <c r="E64" s="1" t="s">
        <v>785</v>
      </c>
      <c r="F64" s="1" t="s">
        <v>1100</v>
      </c>
      <c r="G64" s="1" t="s">
        <v>1179</v>
      </c>
      <c r="H64" s="1" t="s">
        <v>1179</v>
      </c>
      <c r="I64" s="1" t="s">
        <v>21</v>
      </c>
      <c r="J64" s="1" t="s">
        <v>1182</v>
      </c>
      <c r="K64" s="2">
        <v>-68.8490903</v>
      </c>
      <c r="L64" s="2">
        <v>-32.8932907</v>
      </c>
    </row>
    <row r="65">
      <c r="A65" s="1">
        <v>1044.0</v>
      </c>
      <c r="B65" s="1" t="s">
        <v>62</v>
      </c>
      <c r="C65" s="1">
        <v>10.0</v>
      </c>
      <c r="D65" s="1" t="s">
        <v>1183</v>
      </c>
      <c r="E65" s="1" t="s">
        <v>785</v>
      </c>
      <c r="F65" s="1" t="s">
        <v>1100</v>
      </c>
      <c r="G65" s="1" t="s">
        <v>1185</v>
      </c>
      <c r="H65" s="1" t="s">
        <v>1185</v>
      </c>
      <c r="I65" s="1" t="s">
        <v>21</v>
      </c>
      <c r="J65" s="1" t="s">
        <v>1187</v>
      </c>
      <c r="K65" s="2">
        <v>-68.8482715</v>
      </c>
      <c r="L65" s="2">
        <v>-32.8935621</v>
      </c>
    </row>
    <row r="66">
      <c r="A66" s="1">
        <v>1202.0</v>
      </c>
      <c r="B66" s="1" t="s">
        <v>227</v>
      </c>
      <c r="C66" s="1">
        <v>3.0</v>
      </c>
      <c r="D66" s="1" t="s">
        <v>1189</v>
      </c>
      <c r="E66" s="1" t="s">
        <v>785</v>
      </c>
      <c r="F66" s="1" t="s">
        <v>1100</v>
      </c>
      <c r="G66" s="1" t="s">
        <v>1192</v>
      </c>
      <c r="H66" s="1" t="s">
        <v>1192</v>
      </c>
      <c r="I66" s="1" t="s">
        <v>21</v>
      </c>
      <c r="J66" s="1" t="s">
        <v>1194</v>
      </c>
      <c r="K66" s="2">
        <v>-68.8403938</v>
      </c>
      <c r="L66" s="2">
        <v>-32.88338270000001</v>
      </c>
    </row>
    <row r="67">
      <c r="A67" s="1">
        <v>1270.0</v>
      </c>
      <c r="B67" s="1" t="s">
        <v>248</v>
      </c>
      <c r="C67" s="1">
        <v>5.0</v>
      </c>
      <c r="D67" s="1" t="s">
        <v>1195</v>
      </c>
      <c r="E67" s="1" t="s">
        <v>785</v>
      </c>
      <c r="F67" s="1" t="s">
        <v>1100</v>
      </c>
      <c r="G67" s="1" t="s">
        <v>1197</v>
      </c>
      <c r="H67" s="1" t="s">
        <v>1197</v>
      </c>
      <c r="I67" s="1" t="s">
        <v>21</v>
      </c>
      <c r="J67" s="1" t="s">
        <v>1199</v>
      </c>
      <c r="K67" s="2">
        <v>-68.8458386</v>
      </c>
      <c r="L67" s="2">
        <v>-32.8894587</v>
      </c>
    </row>
    <row r="68">
      <c r="A68" s="1">
        <v>1293.0</v>
      </c>
      <c r="B68" s="1" t="s">
        <v>248</v>
      </c>
      <c r="C68" s="1">
        <v>8.0</v>
      </c>
      <c r="D68" s="1" t="s">
        <v>1200</v>
      </c>
      <c r="E68" s="1" t="s">
        <v>785</v>
      </c>
      <c r="F68" s="1" t="s">
        <v>1100</v>
      </c>
      <c r="G68" s="1" t="s">
        <v>1202</v>
      </c>
      <c r="H68" s="1" t="s">
        <v>1204</v>
      </c>
      <c r="I68" s="1" t="s">
        <v>21</v>
      </c>
      <c r="J68" s="1" t="s">
        <v>1205</v>
      </c>
      <c r="K68" s="2">
        <v>-68.8428586</v>
      </c>
      <c r="L68" s="2">
        <v>-32.8916984</v>
      </c>
    </row>
    <row r="69">
      <c r="A69" s="1">
        <v>1416.0</v>
      </c>
      <c r="D69" s="1" t="s">
        <v>1206</v>
      </c>
      <c r="E69" s="1" t="s">
        <v>785</v>
      </c>
      <c r="F69" s="1" t="s">
        <v>1100</v>
      </c>
      <c r="G69" s="1" t="s">
        <v>1208</v>
      </c>
      <c r="I69" s="1" t="s">
        <v>21</v>
      </c>
      <c r="J69" s="1" t="s">
        <v>1210</v>
      </c>
      <c r="K69" s="2">
        <v>-68.8389463</v>
      </c>
      <c r="L69" s="2">
        <v>-32.8899569</v>
      </c>
    </row>
    <row r="70">
      <c r="A70" s="1">
        <v>517.0</v>
      </c>
      <c r="B70" s="1" t="s">
        <v>109</v>
      </c>
      <c r="C70" s="1">
        <v>5.0</v>
      </c>
      <c r="D70" s="1" t="s">
        <v>1212</v>
      </c>
      <c r="E70" s="1" t="s">
        <v>785</v>
      </c>
      <c r="F70" s="1" t="s">
        <v>1214</v>
      </c>
      <c r="G70" s="1" t="s">
        <v>1215</v>
      </c>
      <c r="H70" s="1" t="s">
        <v>1215</v>
      </c>
      <c r="I70" s="1" t="s">
        <v>21</v>
      </c>
      <c r="J70" s="1" t="s">
        <v>1217</v>
      </c>
      <c r="K70" s="2">
        <v>-68.83885699999999</v>
      </c>
      <c r="L70" s="2">
        <v>-32.88808</v>
      </c>
    </row>
    <row r="71">
      <c r="A71" s="1">
        <v>550.0</v>
      </c>
      <c r="B71" s="1" t="s">
        <v>109</v>
      </c>
      <c r="C71" s="1">
        <v>7.0</v>
      </c>
      <c r="D71" s="1" t="s">
        <v>1212</v>
      </c>
      <c r="E71" s="1" t="s">
        <v>785</v>
      </c>
      <c r="F71" s="1" t="s">
        <v>1214</v>
      </c>
      <c r="G71" s="1" t="s">
        <v>1221</v>
      </c>
      <c r="H71" s="1" t="s">
        <v>1221</v>
      </c>
      <c r="I71" s="1" t="s">
        <v>21</v>
      </c>
      <c r="J71" s="1" t="s">
        <v>1222</v>
      </c>
      <c r="K71" s="2">
        <v>-68.8378719</v>
      </c>
      <c r="L71" s="2">
        <v>-32.885202</v>
      </c>
    </row>
    <row r="72">
      <c r="A72" s="1">
        <v>554.0</v>
      </c>
      <c r="B72" s="1" t="s">
        <v>109</v>
      </c>
      <c r="C72" s="1">
        <v>7.0</v>
      </c>
      <c r="D72" s="1" t="s">
        <v>1225</v>
      </c>
      <c r="E72" s="1" t="s">
        <v>785</v>
      </c>
      <c r="F72" s="1" t="s">
        <v>1214</v>
      </c>
      <c r="G72" s="1" t="s">
        <v>1227</v>
      </c>
      <c r="H72" s="1" t="s">
        <v>1227</v>
      </c>
      <c r="I72" s="1" t="s">
        <v>21</v>
      </c>
      <c r="J72" s="1" t="s">
        <v>1228</v>
      </c>
      <c r="K72" s="2">
        <v>-68.837876</v>
      </c>
      <c r="L72" s="2">
        <v>-32.885577</v>
      </c>
    </row>
    <row r="73">
      <c r="A73" s="1">
        <v>608.0</v>
      </c>
      <c r="B73" s="1" t="s">
        <v>109</v>
      </c>
      <c r="C73" s="1">
        <v>12.0</v>
      </c>
      <c r="D73" s="1" t="s">
        <v>1232</v>
      </c>
      <c r="E73" s="1" t="s">
        <v>785</v>
      </c>
      <c r="F73" s="1" t="s">
        <v>1214</v>
      </c>
      <c r="G73" s="1" t="s">
        <v>1233</v>
      </c>
      <c r="H73" s="1" t="s">
        <v>1233</v>
      </c>
      <c r="I73" s="1" t="s">
        <v>21</v>
      </c>
      <c r="J73" s="1" t="s">
        <v>1235</v>
      </c>
      <c r="K73" s="2">
        <v>-68.83919</v>
      </c>
      <c r="L73" s="2">
        <v>-32.888964</v>
      </c>
    </row>
    <row r="74">
      <c r="A74" s="1">
        <v>623.0</v>
      </c>
      <c r="B74" s="1" t="s">
        <v>109</v>
      </c>
      <c r="C74" s="1">
        <v>13.0</v>
      </c>
      <c r="D74" s="1" t="s">
        <v>1238</v>
      </c>
      <c r="E74" s="1" t="s">
        <v>785</v>
      </c>
      <c r="F74" s="1" t="s">
        <v>1214</v>
      </c>
      <c r="G74" s="1" t="s">
        <v>1239</v>
      </c>
      <c r="H74" s="1" t="s">
        <v>1239</v>
      </c>
      <c r="I74" s="1" t="s">
        <v>21</v>
      </c>
      <c r="J74" s="1" t="s">
        <v>1240</v>
      </c>
      <c r="K74" s="2">
        <v>-68.839378</v>
      </c>
      <c r="L74" s="2">
        <v>-32.8899475</v>
      </c>
    </row>
    <row r="75">
      <c r="A75" s="1">
        <v>726.0</v>
      </c>
      <c r="B75" s="1" t="s">
        <v>36</v>
      </c>
      <c r="C75" s="1">
        <v>9.0</v>
      </c>
      <c r="D75" s="1" t="s">
        <v>1242</v>
      </c>
      <c r="E75" s="1" t="s">
        <v>785</v>
      </c>
      <c r="F75" s="1" t="s">
        <v>1214</v>
      </c>
      <c r="G75" s="1" t="s">
        <v>1245</v>
      </c>
      <c r="H75" s="1" t="s">
        <v>1245</v>
      </c>
      <c r="I75" s="1" t="s">
        <v>21</v>
      </c>
      <c r="J75" s="1" t="s">
        <v>1246</v>
      </c>
      <c r="K75" s="2">
        <v>-68.83564799999999</v>
      </c>
      <c r="L75" s="2">
        <v>-32.875457</v>
      </c>
    </row>
    <row r="76">
      <c r="A76" s="1">
        <v>765.0</v>
      </c>
      <c r="B76" s="1" t="s">
        <v>36</v>
      </c>
      <c r="C76" s="1">
        <v>14.0</v>
      </c>
      <c r="D76" s="1" t="s">
        <v>1250</v>
      </c>
      <c r="E76" s="1" t="s">
        <v>785</v>
      </c>
      <c r="F76" s="1" t="s">
        <v>1214</v>
      </c>
      <c r="G76" s="1" t="s">
        <v>1251</v>
      </c>
      <c r="H76" s="1" t="s">
        <v>1251</v>
      </c>
      <c r="I76" s="1" t="s">
        <v>21</v>
      </c>
      <c r="J76" s="1" t="s">
        <v>1252</v>
      </c>
      <c r="K76" s="2">
        <v>-68.8379044</v>
      </c>
      <c r="L76" s="2">
        <v>-32.8842227</v>
      </c>
    </row>
    <row r="77">
      <c r="A77" s="1">
        <v>980.0</v>
      </c>
      <c r="B77" s="1" t="s">
        <v>62</v>
      </c>
      <c r="C77" s="1">
        <v>3.0</v>
      </c>
      <c r="D77" s="1" t="s">
        <v>1256</v>
      </c>
      <c r="E77" s="1" t="s">
        <v>785</v>
      </c>
      <c r="F77" s="1" t="s">
        <v>1214</v>
      </c>
      <c r="G77" s="1" t="s">
        <v>1258</v>
      </c>
      <c r="H77" s="1" t="s">
        <v>1259</v>
      </c>
      <c r="I77" s="1" t="s">
        <v>21</v>
      </c>
      <c r="J77" s="1" t="s">
        <v>1260</v>
      </c>
      <c r="K77" s="2">
        <v>-68.8433264</v>
      </c>
      <c r="L77" s="2">
        <v>-32.8942476</v>
      </c>
    </row>
    <row r="78">
      <c r="A78" s="1">
        <v>1055.0</v>
      </c>
      <c r="B78" s="1" t="s">
        <v>62</v>
      </c>
      <c r="C78" s="1">
        <v>12.0</v>
      </c>
      <c r="D78" s="1" t="s">
        <v>1263</v>
      </c>
      <c r="E78" s="1" t="s">
        <v>785</v>
      </c>
      <c r="F78" s="1" t="s">
        <v>1214</v>
      </c>
      <c r="G78" s="1" t="s">
        <v>1265</v>
      </c>
      <c r="H78" s="1" t="s">
        <v>1265</v>
      </c>
      <c r="I78" s="1" t="s">
        <v>21</v>
      </c>
      <c r="J78" s="1" t="s">
        <v>1267</v>
      </c>
      <c r="K78" s="2">
        <v>-68.8471254</v>
      </c>
      <c r="L78" s="2">
        <v>-32.8939182</v>
      </c>
    </row>
    <row r="79">
      <c r="A79" s="1">
        <v>1070.0</v>
      </c>
      <c r="B79" s="1" t="s">
        <v>62</v>
      </c>
      <c r="C79" s="1">
        <v>12.0</v>
      </c>
      <c r="D79" s="1" t="s">
        <v>1269</v>
      </c>
      <c r="E79" s="1" t="s">
        <v>785</v>
      </c>
      <c r="F79" s="1" t="s">
        <v>1214</v>
      </c>
      <c r="G79" s="1" t="s">
        <v>1265</v>
      </c>
      <c r="H79" s="1" t="s">
        <v>1265</v>
      </c>
      <c r="I79" s="1" t="s">
        <v>21</v>
      </c>
      <c r="J79" s="1" t="s">
        <v>1267</v>
      </c>
      <c r="K79" s="2">
        <v>-68.8471254</v>
      </c>
      <c r="L79" s="2">
        <v>-32.8939182</v>
      </c>
    </row>
    <row r="80">
      <c r="A80" s="1">
        <v>1183.0</v>
      </c>
      <c r="B80" s="1" t="s">
        <v>227</v>
      </c>
      <c r="C80" s="1">
        <v>1.0</v>
      </c>
      <c r="D80" s="1" t="s">
        <v>1250</v>
      </c>
      <c r="E80" s="1" t="s">
        <v>785</v>
      </c>
      <c r="F80" s="1" t="s">
        <v>1214</v>
      </c>
      <c r="G80" s="1" t="s">
        <v>1251</v>
      </c>
      <c r="H80" s="1" t="s">
        <v>1275</v>
      </c>
      <c r="I80" s="1" t="s">
        <v>21</v>
      </c>
      <c r="J80" s="1" t="s">
        <v>1252</v>
      </c>
      <c r="K80" s="2">
        <v>-68.8379044</v>
      </c>
      <c r="L80" s="2">
        <v>-32.8842227</v>
      </c>
    </row>
    <row r="81">
      <c r="A81" s="1">
        <v>1258.0</v>
      </c>
      <c r="B81" s="1" t="s">
        <v>248</v>
      </c>
      <c r="C81" s="1">
        <v>2.0</v>
      </c>
      <c r="D81" s="1" t="s">
        <v>1238</v>
      </c>
      <c r="E81" s="1" t="s">
        <v>785</v>
      </c>
      <c r="F81" s="1" t="s">
        <v>1214</v>
      </c>
      <c r="G81" s="1" t="s">
        <v>1280</v>
      </c>
      <c r="H81" s="1" t="s">
        <v>1280</v>
      </c>
      <c r="I81" s="1" t="s">
        <v>21</v>
      </c>
      <c r="J81" s="1" t="s">
        <v>1283</v>
      </c>
      <c r="K81" s="2">
        <v>-68.8409027</v>
      </c>
      <c r="L81" s="2">
        <v>-32.8851495</v>
      </c>
    </row>
    <row r="82">
      <c r="A82" s="1">
        <v>1377.0</v>
      </c>
      <c r="D82" s="1" t="s">
        <v>1286</v>
      </c>
      <c r="E82" s="1" t="s">
        <v>785</v>
      </c>
      <c r="F82" s="1" t="s">
        <v>1214</v>
      </c>
      <c r="G82" s="1" t="s">
        <v>1288</v>
      </c>
      <c r="I82" s="1" t="s">
        <v>21</v>
      </c>
      <c r="J82" s="1" t="s">
        <v>1289</v>
      </c>
      <c r="K82" s="2">
        <v>-68.840709</v>
      </c>
      <c r="L82" s="2">
        <v>-32.89083190000001</v>
      </c>
    </row>
    <row r="83">
      <c r="A83" s="1">
        <v>210.0</v>
      </c>
      <c r="B83" s="1" t="s">
        <v>29</v>
      </c>
      <c r="C83" s="1">
        <v>11.0</v>
      </c>
      <c r="D83" s="1" t="s">
        <v>1294</v>
      </c>
      <c r="E83" s="1" t="s">
        <v>785</v>
      </c>
      <c r="F83" s="1" t="s">
        <v>1295</v>
      </c>
      <c r="G83" s="3" t="s">
        <v>1299</v>
      </c>
      <c r="H83" s="3" t="s">
        <v>1299</v>
      </c>
      <c r="I83" s="1" t="s">
        <v>21</v>
      </c>
      <c r="J83" s="1" t="s">
        <v>1302</v>
      </c>
      <c r="K83" s="2">
        <v>-68.840513</v>
      </c>
      <c r="L83" s="2">
        <v>-32.8901029</v>
      </c>
    </row>
    <row r="84">
      <c r="A84" s="1">
        <v>1421.0</v>
      </c>
      <c r="D84" s="1" t="s">
        <v>1304</v>
      </c>
      <c r="E84" s="1" t="s">
        <v>785</v>
      </c>
      <c r="F84" s="1" t="s">
        <v>1295</v>
      </c>
      <c r="G84" s="1" t="s">
        <v>1306</v>
      </c>
      <c r="I84" s="1" t="s">
        <v>21</v>
      </c>
      <c r="J84" s="1" t="s">
        <v>1307</v>
      </c>
      <c r="K84" s="2">
        <v>-68.8389463</v>
      </c>
      <c r="L84" s="2">
        <v>-32.8899569</v>
      </c>
    </row>
    <row r="85">
      <c r="A85" s="1">
        <v>1598.0</v>
      </c>
      <c r="D85" s="1" t="s">
        <v>1308</v>
      </c>
      <c r="E85" s="1" t="s">
        <v>785</v>
      </c>
      <c r="F85" s="1" t="s">
        <v>1295</v>
      </c>
      <c r="G85" s="1" t="s">
        <v>1310</v>
      </c>
      <c r="I85" s="1" t="s">
        <v>21</v>
      </c>
      <c r="J85" s="1" t="s">
        <v>1311</v>
      </c>
      <c r="K85" s="2">
        <v>-68.8395603</v>
      </c>
      <c r="L85" s="2">
        <v>-32.8904347</v>
      </c>
    </row>
    <row r="86">
      <c r="A86" s="1">
        <v>15.0</v>
      </c>
      <c r="B86" s="1" t="s">
        <v>12</v>
      </c>
      <c r="C86" s="1">
        <v>3.0</v>
      </c>
      <c r="D86" s="1" t="s">
        <v>1314</v>
      </c>
      <c r="E86" s="1" t="s">
        <v>785</v>
      </c>
      <c r="F86" s="1" t="s">
        <v>1315</v>
      </c>
      <c r="G86" s="1" t="s">
        <v>1316</v>
      </c>
      <c r="H86" s="1" t="s">
        <v>1316</v>
      </c>
      <c r="I86" s="1" t="s">
        <v>21</v>
      </c>
      <c r="J86" s="1" t="s">
        <v>1318</v>
      </c>
      <c r="K86" s="2">
        <v>-68.852518</v>
      </c>
      <c r="L86" s="2">
        <v>-32.883742</v>
      </c>
    </row>
    <row r="87">
      <c r="A87" s="1">
        <v>560.0</v>
      </c>
      <c r="B87" s="1" t="s">
        <v>109</v>
      </c>
      <c r="C87" s="1">
        <v>7.0</v>
      </c>
      <c r="D87" s="1" t="s">
        <v>1320</v>
      </c>
      <c r="E87" s="1" t="s">
        <v>785</v>
      </c>
      <c r="F87" s="1" t="s">
        <v>1315</v>
      </c>
      <c r="G87" s="1" t="s">
        <v>1321</v>
      </c>
      <c r="H87" s="1" t="s">
        <v>1323</v>
      </c>
      <c r="I87" s="1" t="s">
        <v>21</v>
      </c>
      <c r="J87" s="1" t="s">
        <v>1324</v>
      </c>
      <c r="K87" s="2">
        <v>-68.837723</v>
      </c>
      <c r="L87" s="2">
        <v>-32.884737</v>
      </c>
    </row>
    <row r="88">
      <c r="A88" s="1">
        <v>695.0</v>
      </c>
      <c r="B88" s="1" t="s">
        <v>36</v>
      </c>
      <c r="C88" s="1">
        <v>5.0</v>
      </c>
      <c r="D88" s="1" t="s">
        <v>1326</v>
      </c>
      <c r="E88" s="1" t="s">
        <v>785</v>
      </c>
      <c r="F88" s="1" t="s">
        <v>1315</v>
      </c>
      <c r="G88" s="1" t="s">
        <v>1327</v>
      </c>
      <c r="H88" s="1" t="s">
        <v>1327</v>
      </c>
      <c r="I88" s="1" t="s">
        <v>21</v>
      </c>
      <c r="J88" s="1" t="s">
        <v>1328</v>
      </c>
      <c r="K88" s="2">
        <v>-68.83608869999999</v>
      </c>
      <c r="L88" s="2">
        <v>-32.8798347</v>
      </c>
    </row>
    <row r="89">
      <c r="A89" s="1">
        <v>705.0</v>
      </c>
      <c r="B89" s="1" t="s">
        <v>36</v>
      </c>
      <c r="C89" s="1">
        <v>6.0</v>
      </c>
      <c r="D89" s="1" t="s">
        <v>1329</v>
      </c>
      <c r="E89" s="1" t="s">
        <v>785</v>
      </c>
      <c r="F89" s="1" t="s">
        <v>1315</v>
      </c>
      <c r="G89" s="1" t="s">
        <v>1331</v>
      </c>
      <c r="H89" s="1" t="s">
        <v>1331</v>
      </c>
      <c r="I89" s="1" t="s">
        <v>21</v>
      </c>
      <c r="J89" s="1" t="s">
        <v>1333</v>
      </c>
      <c r="K89" s="2">
        <v>-68.835641</v>
      </c>
      <c r="L89" s="2">
        <v>-32.8780147</v>
      </c>
    </row>
    <row r="90">
      <c r="A90" s="1">
        <v>707.0</v>
      </c>
      <c r="B90" s="1" t="s">
        <v>36</v>
      </c>
      <c r="C90" s="1">
        <v>6.0</v>
      </c>
      <c r="D90" s="1" t="s">
        <v>1334</v>
      </c>
      <c r="E90" s="1" t="s">
        <v>785</v>
      </c>
      <c r="F90" s="1" t="s">
        <v>1315</v>
      </c>
      <c r="G90" s="1" t="s">
        <v>1335</v>
      </c>
      <c r="H90" s="1" t="s">
        <v>1335</v>
      </c>
      <c r="I90" s="1" t="s">
        <v>21</v>
      </c>
      <c r="J90" s="1" t="s">
        <v>1337</v>
      </c>
      <c r="K90" s="2">
        <v>-68.835512</v>
      </c>
      <c r="L90" s="2">
        <v>-32.877654</v>
      </c>
    </row>
    <row r="91">
      <c r="A91" s="1">
        <v>735.0</v>
      </c>
      <c r="B91" s="1" t="s">
        <v>36</v>
      </c>
      <c r="C91" s="1">
        <v>10.0</v>
      </c>
      <c r="D91" s="1" t="s">
        <v>1348</v>
      </c>
      <c r="E91" s="1" t="s">
        <v>785</v>
      </c>
      <c r="F91" s="1" t="s">
        <v>1315</v>
      </c>
      <c r="G91" s="1" t="s">
        <v>1350</v>
      </c>
      <c r="H91" s="1" t="s">
        <v>1350</v>
      </c>
      <c r="I91" s="1" t="s">
        <v>21</v>
      </c>
      <c r="J91" s="1" t="s">
        <v>1351</v>
      </c>
      <c r="K91" s="2">
        <v>-68.836368</v>
      </c>
      <c r="L91" s="2">
        <v>-32.8780516</v>
      </c>
    </row>
    <row r="92">
      <c r="A92" s="1">
        <v>851.0</v>
      </c>
      <c r="B92" s="1" t="s">
        <v>55</v>
      </c>
      <c r="C92" s="1">
        <v>5.0</v>
      </c>
      <c r="D92" s="1" t="s">
        <v>1354</v>
      </c>
      <c r="E92" s="1" t="s">
        <v>785</v>
      </c>
      <c r="F92" s="1" t="s">
        <v>1315</v>
      </c>
      <c r="G92" s="1" t="s">
        <v>1355</v>
      </c>
      <c r="H92" s="1" t="s">
        <v>1355</v>
      </c>
      <c r="I92" s="1" t="s">
        <v>21</v>
      </c>
      <c r="J92" s="1" t="s">
        <v>1356</v>
      </c>
      <c r="K92" s="2">
        <v>-68.8441026</v>
      </c>
      <c r="L92" s="2">
        <v>-32.8850524</v>
      </c>
    </row>
    <row r="93">
      <c r="B93" s="1" t="s">
        <v>62</v>
      </c>
      <c r="C93" s="1">
        <v>12.0</v>
      </c>
      <c r="D93" s="1" t="s">
        <v>1357</v>
      </c>
      <c r="E93" s="1" t="s">
        <v>785</v>
      </c>
      <c r="F93" s="1" t="s">
        <v>1315</v>
      </c>
      <c r="G93" s="1" t="s">
        <v>1358</v>
      </c>
      <c r="H93" s="1" t="s">
        <v>1358</v>
      </c>
      <c r="I93" s="1" t="s">
        <v>21</v>
      </c>
      <c r="J93" s="1" t="s">
        <v>1359</v>
      </c>
      <c r="K93" s="2">
        <v>-68.8468853</v>
      </c>
      <c r="L93" s="2">
        <v>-32.8939543</v>
      </c>
    </row>
    <row r="94">
      <c r="A94" s="1">
        <v>1177.0</v>
      </c>
      <c r="B94" s="1" t="s">
        <v>120</v>
      </c>
      <c r="C94" s="1">
        <v>6.0</v>
      </c>
      <c r="D94" s="1" t="s">
        <v>1093</v>
      </c>
      <c r="E94" s="1" t="s">
        <v>785</v>
      </c>
      <c r="F94" s="1" t="s">
        <v>1315</v>
      </c>
      <c r="G94" s="1" t="s">
        <v>1362</v>
      </c>
      <c r="H94" s="1" t="s">
        <v>1362</v>
      </c>
      <c r="I94" s="1" t="s">
        <v>21</v>
      </c>
      <c r="J94" s="1" t="s">
        <v>1373</v>
      </c>
      <c r="K94" s="2">
        <v>-68.839742</v>
      </c>
      <c r="L94" s="2">
        <v>-32.8895659</v>
      </c>
    </row>
    <row r="95">
      <c r="A95" s="1">
        <v>1206.0</v>
      </c>
      <c r="B95" s="1" t="s">
        <v>227</v>
      </c>
      <c r="C95" s="1">
        <v>3.0</v>
      </c>
      <c r="D95" s="1" t="s">
        <v>1377</v>
      </c>
      <c r="E95" s="1" t="s">
        <v>785</v>
      </c>
      <c r="F95" s="1" t="s">
        <v>1315</v>
      </c>
      <c r="G95" s="1" t="s">
        <v>1378</v>
      </c>
      <c r="H95" s="1" t="s">
        <v>1378</v>
      </c>
      <c r="I95" s="1" t="s">
        <v>21</v>
      </c>
      <c r="J95" s="1" t="s">
        <v>1380</v>
      </c>
      <c r="K95" s="2">
        <v>-68.8271147</v>
      </c>
      <c r="L95" s="2">
        <v>-32.8890594</v>
      </c>
    </row>
    <row r="96">
      <c r="A96" s="1">
        <v>1417.0</v>
      </c>
      <c r="D96" s="1" t="s">
        <v>1384</v>
      </c>
      <c r="E96" s="1" t="s">
        <v>785</v>
      </c>
      <c r="F96" s="1" t="s">
        <v>1315</v>
      </c>
      <c r="G96" s="1" t="s">
        <v>1385</v>
      </c>
      <c r="I96" s="1" t="s">
        <v>21</v>
      </c>
      <c r="J96" s="1" t="s">
        <v>1387</v>
      </c>
      <c r="K96" s="2">
        <v>-68.8389463</v>
      </c>
      <c r="L96" s="2">
        <v>-32.8899569</v>
      </c>
    </row>
    <row r="97">
      <c r="B97" s="1" t="s">
        <v>109</v>
      </c>
      <c r="D97" s="1" t="s">
        <v>1389</v>
      </c>
      <c r="E97" s="1" t="s">
        <v>785</v>
      </c>
      <c r="F97" s="1" t="s">
        <v>1391</v>
      </c>
      <c r="G97" s="1" t="s">
        <v>1392</v>
      </c>
      <c r="H97" s="1" t="s">
        <v>1392</v>
      </c>
      <c r="I97" s="1" t="s">
        <v>21</v>
      </c>
      <c r="J97" s="1" t="s">
        <v>1393</v>
      </c>
      <c r="K97" s="2">
        <v>-68.8380507</v>
      </c>
      <c r="L97" s="2">
        <v>-32.8846006</v>
      </c>
    </row>
    <row r="98">
      <c r="A98" s="1">
        <v>678.0</v>
      </c>
      <c r="B98" s="1" t="s">
        <v>36</v>
      </c>
      <c r="C98" s="1">
        <v>3.0</v>
      </c>
      <c r="D98" s="1" t="s">
        <v>1398</v>
      </c>
      <c r="E98" s="1" t="s">
        <v>785</v>
      </c>
      <c r="F98" s="1" t="s">
        <v>1391</v>
      </c>
      <c r="G98" s="1" t="s">
        <v>1399</v>
      </c>
      <c r="H98" s="1" t="s">
        <v>1399</v>
      </c>
      <c r="I98" s="1" t="s">
        <v>21</v>
      </c>
      <c r="J98" s="1" t="s">
        <v>1400</v>
      </c>
      <c r="K98" s="2">
        <v>-68.836726</v>
      </c>
      <c r="L98" s="2">
        <v>-32.881913</v>
      </c>
    </row>
    <row r="99">
      <c r="A99" s="1">
        <v>680.0</v>
      </c>
      <c r="B99" s="1" t="s">
        <v>36</v>
      </c>
      <c r="C99" s="1">
        <v>3.0</v>
      </c>
      <c r="D99" s="1" t="s">
        <v>1403</v>
      </c>
      <c r="E99" s="1" t="s">
        <v>785</v>
      </c>
      <c r="F99" s="1" t="s">
        <v>1391</v>
      </c>
      <c r="G99" s="1" t="s">
        <v>1406</v>
      </c>
      <c r="H99" s="1" t="s">
        <v>1406</v>
      </c>
      <c r="I99" s="1" t="s">
        <v>21</v>
      </c>
      <c r="J99" s="1" t="s">
        <v>1407</v>
      </c>
      <c r="K99" s="2">
        <v>-68.83659829999999</v>
      </c>
      <c r="L99" s="2">
        <v>-32.8817559</v>
      </c>
    </row>
    <row r="100">
      <c r="A100" s="1">
        <v>684.0</v>
      </c>
      <c r="B100" s="1" t="s">
        <v>36</v>
      </c>
      <c r="C100" s="1">
        <v>3.0</v>
      </c>
      <c r="D100" s="1" t="s">
        <v>1410</v>
      </c>
      <c r="E100" s="1" t="s">
        <v>785</v>
      </c>
      <c r="F100" s="1" t="s">
        <v>1391</v>
      </c>
      <c r="G100" s="1" t="s">
        <v>1413</v>
      </c>
      <c r="H100" s="1" t="s">
        <v>1413</v>
      </c>
      <c r="I100" s="1" t="s">
        <v>21</v>
      </c>
      <c r="J100" s="1" t="s">
        <v>1414</v>
      </c>
      <c r="K100" s="2">
        <v>-68.836753</v>
      </c>
      <c r="L100" s="2">
        <v>-32.88117</v>
      </c>
    </row>
    <row r="101">
      <c r="A101" s="1">
        <v>689.0</v>
      </c>
      <c r="B101" s="1" t="s">
        <v>36</v>
      </c>
      <c r="C101" s="1">
        <v>4.0</v>
      </c>
      <c r="D101" s="1" t="s">
        <v>1418</v>
      </c>
      <c r="E101" s="1" t="s">
        <v>785</v>
      </c>
      <c r="F101" s="1" t="s">
        <v>1391</v>
      </c>
      <c r="G101" s="1" t="s">
        <v>1420</v>
      </c>
      <c r="H101" s="1" t="s">
        <v>1420</v>
      </c>
      <c r="I101" s="1" t="s">
        <v>21</v>
      </c>
      <c r="J101" s="1" t="s">
        <v>1421</v>
      </c>
      <c r="K101" s="2">
        <v>-68.8366563</v>
      </c>
      <c r="L101" s="2">
        <v>-32.8812597</v>
      </c>
    </row>
    <row r="102">
      <c r="A102" s="1">
        <v>692.0</v>
      </c>
      <c r="B102" s="1" t="s">
        <v>36</v>
      </c>
      <c r="C102" s="1">
        <v>4.0</v>
      </c>
      <c r="D102" s="1" t="s">
        <v>1423</v>
      </c>
      <c r="E102" s="1" t="s">
        <v>785</v>
      </c>
      <c r="F102" s="1" t="s">
        <v>1391</v>
      </c>
      <c r="G102" s="1" t="s">
        <v>1426</v>
      </c>
      <c r="H102" s="1" t="s">
        <v>1427</v>
      </c>
      <c r="I102" s="1" t="s">
        <v>21</v>
      </c>
      <c r="J102" s="1" t="s">
        <v>1428</v>
      </c>
      <c r="K102" s="2">
        <v>-68.8362389</v>
      </c>
      <c r="L102" s="2">
        <v>-32.8801429</v>
      </c>
    </row>
    <row r="103">
      <c r="B103" s="1" t="s">
        <v>36</v>
      </c>
      <c r="C103" s="1">
        <v>5.0</v>
      </c>
      <c r="D103" s="1" t="s">
        <v>1429</v>
      </c>
      <c r="E103" s="1" t="s">
        <v>785</v>
      </c>
      <c r="F103" s="1" t="s">
        <v>1391</v>
      </c>
      <c r="G103" s="1" t="s">
        <v>1431</v>
      </c>
      <c r="H103" s="1" t="s">
        <v>1431</v>
      </c>
      <c r="I103" s="1" t="s">
        <v>21</v>
      </c>
      <c r="J103" s="1" t="s">
        <v>1433</v>
      </c>
      <c r="K103" s="2">
        <v>-68.836007</v>
      </c>
      <c r="L103" s="2">
        <v>-32.879402</v>
      </c>
    </row>
    <row r="104">
      <c r="A104" s="1">
        <v>698.0</v>
      </c>
      <c r="B104" s="1" t="s">
        <v>36</v>
      </c>
      <c r="C104" s="1">
        <v>5.0</v>
      </c>
      <c r="D104" s="1" t="s">
        <v>1435</v>
      </c>
      <c r="E104" s="1" t="s">
        <v>785</v>
      </c>
      <c r="F104" s="1" t="s">
        <v>1391</v>
      </c>
      <c r="G104" s="1" t="s">
        <v>1436</v>
      </c>
      <c r="H104" s="1" t="s">
        <v>1436</v>
      </c>
      <c r="I104" s="1" t="s">
        <v>21</v>
      </c>
      <c r="J104" s="1" t="s">
        <v>1438</v>
      </c>
      <c r="K104" s="2">
        <v>-68.83599749999999</v>
      </c>
      <c r="L104" s="2">
        <v>-32.878954</v>
      </c>
    </row>
    <row r="105">
      <c r="A105" s="1">
        <v>703.0</v>
      </c>
      <c r="B105" s="1" t="s">
        <v>36</v>
      </c>
      <c r="C105" s="1">
        <v>6.0</v>
      </c>
      <c r="D105" s="1" t="s">
        <v>1441</v>
      </c>
      <c r="E105" s="1" t="s">
        <v>785</v>
      </c>
      <c r="F105" s="1" t="s">
        <v>1391</v>
      </c>
      <c r="G105" s="1" t="s">
        <v>1442</v>
      </c>
      <c r="H105" s="1" t="s">
        <v>1442</v>
      </c>
      <c r="I105" s="1" t="s">
        <v>21</v>
      </c>
      <c r="J105" s="1" t="s">
        <v>1444</v>
      </c>
      <c r="K105" s="2">
        <v>-68.835718</v>
      </c>
      <c r="L105" s="2">
        <v>-32.8782889</v>
      </c>
    </row>
    <row r="106">
      <c r="A106" s="1">
        <v>744.0</v>
      </c>
      <c r="B106" s="1" t="s">
        <v>36</v>
      </c>
      <c r="C106" s="1">
        <v>11.0</v>
      </c>
      <c r="D106" s="1" t="s">
        <v>1446</v>
      </c>
      <c r="E106" s="1" t="s">
        <v>785</v>
      </c>
      <c r="F106" s="1" t="s">
        <v>1391</v>
      </c>
      <c r="G106" s="1" t="s">
        <v>1448</v>
      </c>
      <c r="H106" s="1" t="s">
        <v>1448</v>
      </c>
      <c r="I106" s="1" t="s">
        <v>21</v>
      </c>
      <c r="J106" s="1" t="s">
        <v>1450</v>
      </c>
      <c r="K106" s="2">
        <v>-68.8364979</v>
      </c>
      <c r="L106" s="2">
        <v>-32.878704</v>
      </c>
    </row>
    <row r="107">
      <c r="A107" s="1">
        <v>745.0</v>
      </c>
      <c r="B107" s="1" t="s">
        <v>36</v>
      </c>
      <c r="C107" s="1">
        <v>12.0</v>
      </c>
      <c r="D107" s="1" t="s">
        <v>1452</v>
      </c>
      <c r="E107" s="1" t="s">
        <v>785</v>
      </c>
      <c r="F107" s="1" t="s">
        <v>1391</v>
      </c>
      <c r="G107" s="1" t="s">
        <v>1454</v>
      </c>
      <c r="H107" s="1" t="s">
        <v>1454</v>
      </c>
      <c r="I107" s="1" t="s">
        <v>21</v>
      </c>
      <c r="J107" s="1" t="s">
        <v>1455</v>
      </c>
      <c r="K107" s="2">
        <v>-68.8370209</v>
      </c>
      <c r="L107" s="2">
        <v>-32.8807567</v>
      </c>
    </row>
    <row r="108">
      <c r="A108" s="1">
        <v>747.0</v>
      </c>
      <c r="B108" s="1" t="s">
        <v>36</v>
      </c>
      <c r="C108" s="1">
        <v>12.0</v>
      </c>
      <c r="D108" s="1" t="s">
        <v>1458</v>
      </c>
      <c r="E108" s="1" t="s">
        <v>785</v>
      </c>
      <c r="F108" s="1" t="s">
        <v>1391</v>
      </c>
      <c r="G108" s="1" t="s">
        <v>1460</v>
      </c>
      <c r="H108" s="1" t="s">
        <v>1460</v>
      </c>
      <c r="I108" s="1" t="s">
        <v>21</v>
      </c>
      <c r="J108" s="1" t="s">
        <v>1461</v>
      </c>
      <c r="K108" s="2">
        <v>-68.8369165</v>
      </c>
      <c r="L108" s="2">
        <v>-32.8806551</v>
      </c>
    </row>
    <row r="109">
      <c r="A109" s="1">
        <v>748.0</v>
      </c>
      <c r="B109" s="1" t="s">
        <v>36</v>
      </c>
      <c r="C109" s="1">
        <v>12.0</v>
      </c>
      <c r="D109" s="1" t="s">
        <v>1462</v>
      </c>
      <c r="E109" s="1" t="s">
        <v>785</v>
      </c>
      <c r="F109" s="1" t="s">
        <v>1391</v>
      </c>
      <c r="G109" s="1" t="s">
        <v>1464</v>
      </c>
      <c r="H109" s="1" t="s">
        <v>1464</v>
      </c>
      <c r="I109" s="1" t="s">
        <v>21</v>
      </c>
      <c r="J109" s="1" t="s">
        <v>1466</v>
      </c>
      <c r="K109" s="2">
        <v>-68.837013</v>
      </c>
      <c r="L109" s="2">
        <v>-32.880589</v>
      </c>
    </row>
    <row r="110">
      <c r="A110" s="1">
        <v>758.0</v>
      </c>
      <c r="B110" s="1" t="s">
        <v>36</v>
      </c>
      <c r="C110" s="1">
        <v>13.0</v>
      </c>
      <c r="D110" s="1" t="s">
        <v>1468</v>
      </c>
      <c r="E110" s="1" t="s">
        <v>785</v>
      </c>
      <c r="F110" s="1" t="s">
        <v>1391</v>
      </c>
      <c r="G110" s="1" t="s">
        <v>1469</v>
      </c>
      <c r="H110" s="1" t="s">
        <v>1469</v>
      </c>
      <c r="I110" s="1" t="s">
        <v>21</v>
      </c>
      <c r="J110" s="1" t="s">
        <v>1472</v>
      </c>
      <c r="K110" s="2">
        <v>-68.8372316</v>
      </c>
      <c r="L110" s="2">
        <v>-32.8818788</v>
      </c>
    </row>
    <row r="111">
      <c r="A111" s="1">
        <v>759.0</v>
      </c>
      <c r="B111" s="1" t="s">
        <v>36</v>
      </c>
      <c r="C111" s="1">
        <v>13.0</v>
      </c>
      <c r="D111" s="1" t="s">
        <v>1474</v>
      </c>
      <c r="E111" s="1" t="s">
        <v>785</v>
      </c>
      <c r="F111" s="1" t="s">
        <v>1391</v>
      </c>
      <c r="G111" s="1" t="s">
        <v>1475</v>
      </c>
      <c r="H111" s="1" t="s">
        <v>1475</v>
      </c>
      <c r="I111" s="1" t="s">
        <v>21</v>
      </c>
      <c r="J111" s="1" t="s">
        <v>1476</v>
      </c>
      <c r="K111" s="2">
        <v>-68.837311</v>
      </c>
      <c r="L111" s="2">
        <v>-32.8814799</v>
      </c>
    </row>
    <row r="112">
      <c r="A112" s="1">
        <v>760.0</v>
      </c>
      <c r="B112" s="1" t="s">
        <v>36</v>
      </c>
      <c r="C112" s="1">
        <v>13.0</v>
      </c>
      <c r="D112" s="1" t="s">
        <v>1480</v>
      </c>
      <c r="E112" s="1" t="s">
        <v>785</v>
      </c>
      <c r="F112" s="1" t="s">
        <v>1391</v>
      </c>
      <c r="G112" s="1" t="s">
        <v>1482</v>
      </c>
      <c r="H112" s="1" t="s">
        <v>1482</v>
      </c>
      <c r="I112" s="1" t="s">
        <v>21</v>
      </c>
      <c r="J112" s="1" t="s">
        <v>1483</v>
      </c>
      <c r="K112" s="2">
        <v>-68.837355</v>
      </c>
      <c r="L112" s="2">
        <v>-32.881646</v>
      </c>
    </row>
    <row r="113">
      <c r="A113" s="1">
        <v>780.0</v>
      </c>
      <c r="B113" s="1" t="s">
        <v>36</v>
      </c>
      <c r="C113" s="1">
        <v>14.0</v>
      </c>
      <c r="D113" s="1" t="s">
        <v>1486</v>
      </c>
      <c r="E113" s="1" t="s">
        <v>785</v>
      </c>
      <c r="F113" s="1" t="s">
        <v>1391</v>
      </c>
      <c r="G113" s="1" t="s">
        <v>1488</v>
      </c>
      <c r="H113" s="1" t="s">
        <v>1488</v>
      </c>
      <c r="I113" s="1" t="s">
        <v>21</v>
      </c>
      <c r="J113" s="1" t="s">
        <v>1490</v>
      </c>
      <c r="K113" s="2">
        <v>-68.8374998</v>
      </c>
      <c r="L113" s="2">
        <v>-32.882729</v>
      </c>
    </row>
    <row r="114">
      <c r="A114" s="1">
        <v>1143.0</v>
      </c>
      <c r="B114" s="1" t="s">
        <v>120</v>
      </c>
      <c r="C114" s="1">
        <v>4.0</v>
      </c>
      <c r="D114" s="1" t="s">
        <v>1494</v>
      </c>
      <c r="E114" s="1" t="s">
        <v>785</v>
      </c>
      <c r="F114" s="1" t="s">
        <v>1391</v>
      </c>
      <c r="G114" s="1" t="s">
        <v>1495</v>
      </c>
      <c r="H114" s="1" t="s">
        <v>1495</v>
      </c>
      <c r="I114" s="1" t="s">
        <v>21</v>
      </c>
      <c r="J114" s="1" t="s">
        <v>1496</v>
      </c>
      <c r="K114" s="2">
        <v>-68.8426025</v>
      </c>
      <c r="L114" s="2">
        <v>-32.8889966</v>
      </c>
    </row>
    <row r="115">
      <c r="A115" s="1">
        <v>1193.0</v>
      </c>
      <c r="B115" s="1" t="s">
        <v>227</v>
      </c>
      <c r="C115" s="1">
        <v>1.0</v>
      </c>
      <c r="D115" s="1" t="s">
        <v>1500</v>
      </c>
      <c r="E115" s="1" t="s">
        <v>785</v>
      </c>
      <c r="F115" s="1" t="s">
        <v>1391</v>
      </c>
      <c r="G115" s="1" t="s">
        <v>1501</v>
      </c>
      <c r="H115" s="1" t="s">
        <v>1502</v>
      </c>
      <c r="I115" s="1" t="s">
        <v>21</v>
      </c>
      <c r="J115" s="1" t="s">
        <v>1503</v>
      </c>
      <c r="K115" s="2">
        <v>-68.83901019999999</v>
      </c>
      <c r="L115" s="2">
        <v>-32.8838964</v>
      </c>
    </row>
    <row r="116">
      <c r="A116" s="1">
        <v>1207.0</v>
      </c>
      <c r="B116" s="1" t="s">
        <v>227</v>
      </c>
      <c r="C116" s="1">
        <v>3.0</v>
      </c>
      <c r="D116" s="1" t="s">
        <v>1507</v>
      </c>
      <c r="E116" s="1" t="s">
        <v>785</v>
      </c>
      <c r="F116" s="1" t="s">
        <v>1391</v>
      </c>
      <c r="G116" s="1" t="s">
        <v>1508</v>
      </c>
      <c r="H116" s="1" t="s">
        <v>1508</v>
      </c>
      <c r="I116" s="1" t="s">
        <v>21</v>
      </c>
      <c r="J116" s="1" t="s">
        <v>1509</v>
      </c>
      <c r="K116" s="2">
        <v>-68.8189134</v>
      </c>
      <c r="L116" s="2">
        <v>-32.8638607</v>
      </c>
    </row>
    <row r="117">
      <c r="A117" s="1">
        <v>1583.0</v>
      </c>
      <c r="D117" s="1" t="s">
        <v>1510</v>
      </c>
      <c r="E117" s="1" t="s">
        <v>785</v>
      </c>
      <c r="F117" s="1" t="s">
        <v>1511</v>
      </c>
      <c r="G117" s="1" t="s">
        <v>1512</v>
      </c>
      <c r="I117" s="1" t="s">
        <v>21</v>
      </c>
      <c r="J117" s="1" t="s">
        <v>1513</v>
      </c>
      <c r="K117" s="2">
        <v>-68.8526867</v>
      </c>
      <c r="L117" s="2">
        <v>-32.8896247</v>
      </c>
    </row>
    <row r="118">
      <c r="A118" s="1">
        <v>138.0</v>
      </c>
      <c r="B118" s="1" t="s">
        <v>29</v>
      </c>
      <c r="C118" s="1">
        <v>6.0</v>
      </c>
      <c r="D118" s="1" t="s">
        <v>1514</v>
      </c>
      <c r="E118" s="1" t="s">
        <v>785</v>
      </c>
      <c r="F118" s="1" t="s">
        <v>1515</v>
      </c>
      <c r="G118" s="3" t="s">
        <v>1437</v>
      </c>
      <c r="H118" s="3" t="s">
        <v>1437</v>
      </c>
      <c r="I118" s="1" t="s">
        <v>21</v>
      </c>
      <c r="J118" s="1" t="s">
        <v>1517</v>
      </c>
      <c r="K118" s="2">
        <v>-68.840763</v>
      </c>
      <c r="L118" s="2">
        <v>-32.890184</v>
      </c>
    </row>
    <row r="119">
      <c r="A119" s="1">
        <v>158.0</v>
      </c>
      <c r="B119" s="1" t="s">
        <v>29</v>
      </c>
      <c r="C119" s="1">
        <v>7.0</v>
      </c>
      <c r="D119" s="1" t="s">
        <v>1518</v>
      </c>
      <c r="E119" s="1" t="s">
        <v>785</v>
      </c>
      <c r="F119" s="1" t="s">
        <v>1515</v>
      </c>
      <c r="G119" s="3" t="s">
        <v>1521</v>
      </c>
      <c r="H119" s="1" t="s">
        <v>1522</v>
      </c>
      <c r="I119" s="1" t="s">
        <v>21</v>
      </c>
      <c r="J119" s="1" t="s">
        <v>1523</v>
      </c>
      <c r="K119" s="2">
        <v>-68.8410275</v>
      </c>
      <c r="L119" s="2">
        <v>-32.8911443</v>
      </c>
    </row>
    <row r="120">
      <c r="A120" s="1">
        <v>165.0</v>
      </c>
      <c r="B120" s="1" t="s">
        <v>29</v>
      </c>
      <c r="C120" s="1">
        <v>8.0</v>
      </c>
      <c r="D120" s="1" t="s">
        <v>1525</v>
      </c>
      <c r="E120" s="1" t="s">
        <v>785</v>
      </c>
      <c r="F120" s="1" t="s">
        <v>1515</v>
      </c>
      <c r="G120" s="3" t="s">
        <v>1528</v>
      </c>
      <c r="H120" s="3" t="s">
        <v>1528</v>
      </c>
      <c r="I120" s="1" t="s">
        <v>21</v>
      </c>
      <c r="J120" s="1" t="s">
        <v>1529</v>
      </c>
      <c r="K120" s="2">
        <v>-68.8412357</v>
      </c>
      <c r="L120" s="2">
        <v>-32.8918207</v>
      </c>
    </row>
    <row r="121">
      <c r="A121" s="1">
        <v>188.0</v>
      </c>
      <c r="B121" s="1" t="s">
        <v>29</v>
      </c>
      <c r="C121" s="1">
        <v>10.0</v>
      </c>
      <c r="D121" s="1" t="s">
        <v>1532</v>
      </c>
      <c r="E121" s="1" t="s">
        <v>785</v>
      </c>
      <c r="F121" s="1" t="s">
        <v>1515</v>
      </c>
      <c r="G121" s="3" t="s">
        <v>1534</v>
      </c>
      <c r="H121" s="3" t="s">
        <v>1534</v>
      </c>
      <c r="I121" s="1" t="s">
        <v>21</v>
      </c>
      <c r="J121" s="1" t="s">
        <v>1537</v>
      </c>
      <c r="K121" s="2">
        <v>-68.8408165</v>
      </c>
      <c r="L121" s="2">
        <v>-32.8913848</v>
      </c>
    </row>
    <row r="122">
      <c r="A122" s="1">
        <v>215.0</v>
      </c>
      <c r="B122" s="1" t="s">
        <v>29</v>
      </c>
      <c r="C122" s="1">
        <v>11.0</v>
      </c>
      <c r="D122" s="1" t="s">
        <v>1540</v>
      </c>
      <c r="E122" s="1" t="s">
        <v>785</v>
      </c>
      <c r="F122" s="1" t="s">
        <v>1515</v>
      </c>
      <c r="G122" s="3" t="s">
        <v>1542</v>
      </c>
      <c r="H122" s="3" t="s">
        <v>1542</v>
      </c>
      <c r="I122" s="1" t="s">
        <v>21</v>
      </c>
      <c r="J122" s="1" t="s">
        <v>1546</v>
      </c>
      <c r="K122" s="2">
        <v>-68.840407</v>
      </c>
      <c r="L122" s="2">
        <v>-32.889882</v>
      </c>
    </row>
    <row r="123">
      <c r="A123" s="1">
        <v>240.0</v>
      </c>
      <c r="B123" s="1" t="s">
        <v>29</v>
      </c>
      <c r="C123" s="1">
        <v>15.0</v>
      </c>
      <c r="D123" s="1" t="s">
        <v>1551</v>
      </c>
      <c r="E123" s="1" t="s">
        <v>785</v>
      </c>
      <c r="F123" s="1" t="s">
        <v>1515</v>
      </c>
      <c r="G123" s="3" t="s">
        <v>1554</v>
      </c>
      <c r="H123" s="3" t="s">
        <v>1554</v>
      </c>
      <c r="I123" s="1" t="s">
        <v>21</v>
      </c>
      <c r="J123" s="1" t="s">
        <v>1556</v>
      </c>
      <c r="K123" s="2">
        <v>-68.83934219999999</v>
      </c>
      <c r="L123" s="2">
        <v>-32.8858436</v>
      </c>
    </row>
    <row r="124">
      <c r="A124" s="1">
        <v>263.0</v>
      </c>
      <c r="B124" s="1" t="s">
        <v>51</v>
      </c>
      <c r="C124" s="1">
        <v>1.0</v>
      </c>
      <c r="D124" s="1" t="s">
        <v>1561</v>
      </c>
      <c r="E124" s="1" t="s">
        <v>785</v>
      </c>
      <c r="F124" s="1" t="s">
        <v>1515</v>
      </c>
      <c r="G124" s="1" t="s">
        <v>1562</v>
      </c>
      <c r="H124" s="1" t="s">
        <v>1562</v>
      </c>
      <c r="I124" s="1" t="s">
        <v>21</v>
      </c>
      <c r="J124" s="1" t="s">
        <v>1563</v>
      </c>
      <c r="K124" s="2">
        <v>-68.83964399999999</v>
      </c>
      <c r="L124" s="2">
        <v>-32.8904286</v>
      </c>
    </row>
    <row r="125">
      <c r="A125" s="1">
        <v>287.0</v>
      </c>
      <c r="B125" s="1" t="s">
        <v>51</v>
      </c>
      <c r="C125" s="1">
        <v>2.0</v>
      </c>
      <c r="D125" s="1" t="s">
        <v>1566</v>
      </c>
      <c r="E125" s="1" t="s">
        <v>785</v>
      </c>
      <c r="F125" s="1" t="s">
        <v>1515</v>
      </c>
      <c r="G125" s="1" t="s">
        <v>1567</v>
      </c>
      <c r="H125" s="1" t="s">
        <v>1567</v>
      </c>
      <c r="I125" s="1" t="s">
        <v>21</v>
      </c>
      <c r="J125" s="1" t="s">
        <v>1569</v>
      </c>
      <c r="K125" s="2">
        <v>-68.84000449999999</v>
      </c>
      <c r="L125" s="2">
        <v>-32.890499</v>
      </c>
    </row>
    <row r="126">
      <c r="A126" s="1">
        <v>385.0</v>
      </c>
      <c r="B126" s="1" t="s">
        <v>24</v>
      </c>
      <c r="C126" s="1">
        <v>2.0</v>
      </c>
      <c r="D126" s="1" t="s">
        <v>1540</v>
      </c>
      <c r="E126" s="1" t="s">
        <v>785</v>
      </c>
      <c r="F126" s="1" t="s">
        <v>1515</v>
      </c>
      <c r="G126" s="1" t="s">
        <v>1573</v>
      </c>
      <c r="H126" s="1" t="s">
        <v>1574</v>
      </c>
      <c r="I126" s="1" t="s">
        <v>21</v>
      </c>
      <c r="J126" s="1" t="s">
        <v>1575</v>
      </c>
      <c r="K126" s="2">
        <v>-68.8546442</v>
      </c>
      <c r="L126" s="2">
        <v>-32.8922009</v>
      </c>
    </row>
    <row r="127">
      <c r="A127" s="1">
        <v>463.0</v>
      </c>
      <c r="B127" s="1" t="s">
        <v>24</v>
      </c>
      <c r="C127" s="1">
        <v>12.0</v>
      </c>
      <c r="D127" s="1" t="s">
        <v>1577</v>
      </c>
      <c r="E127" s="1" t="s">
        <v>785</v>
      </c>
      <c r="F127" s="1" t="s">
        <v>1515</v>
      </c>
      <c r="G127" s="1" t="s">
        <v>1579</v>
      </c>
      <c r="H127" s="1" t="s">
        <v>1580</v>
      </c>
      <c r="I127" s="1" t="s">
        <v>21</v>
      </c>
      <c r="J127" s="1" t="s">
        <v>1581</v>
      </c>
      <c r="K127" s="2">
        <v>-68.854001</v>
      </c>
      <c r="L127" s="2">
        <v>-32.892582</v>
      </c>
    </row>
    <row r="128">
      <c r="B128" s="1" t="s">
        <v>109</v>
      </c>
      <c r="C128" s="1">
        <v>1.0</v>
      </c>
      <c r="D128" s="1" t="s">
        <v>1583</v>
      </c>
      <c r="E128" s="1" t="s">
        <v>785</v>
      </c>
      <c r="F128" s="1" t="s">
        <v>1515</v>
      </c>
      <c r="G128" s="1" t="s">
        <v>1586</v>
      </c>
      <c r="H128" s="1" t="s">
        <v>1586</v>
      </c>
      <c r="I128" s="1" t="s">
        <v>21</v>
      </c>
      <c r="J128" s="1" t="s">
        <v>1588</v>
      </c>
      <c r="K128" s="2">
        <v>-68.8399542</v>
      </c>
      <c r="L128" s="2">
        <v>-32.892821</v>
      </c>
    </row>
    <row r="129">
      <c r="A129" s="1">
        <v>490.0</v>
      </c>
      <c r="B129" s="1" t="s">
        <v>109</v>
      </c>
      <c r="C129" s="1">
        <v>2.0</v>
      </c>
      <c r="D129" s="1" t="s">
        <v>1590</v>
      </c>
      <c r="E129" s="1" t="s">
        <v>785</v>
      </c>
      <c r="F129" s="1" t="s">
        <v>1515</v>
      </c>
      <c r="G129" s="1" t="s">
        <v>1592</v>
      </c>
      <c r="H129" s="1" t="s">
        <v>1592</v>
      </c>
      <c r="I129" s="1" t="s">
        <v>21</v>
      </c>
      <c r="J129" s="1" t="s">
        <v>1594</v>
      </c>
      <c r="K129" s="2">
        <v>-68.83944129999999</v>
      </c>
      <c r="L129" s="2">
        <v>-32.8906688</v>
      </c>
    </row>
    <row r="130">
      <c r="A130" s="1">
        <v>501.0</v>
      </c>
      <c r="B130" s="1" t="s">
        <v>109</v>
      </c>
      <c r="C130" s="1">
        <v>3.0</v>
      </c>
      <c r="D130" s="1" t="s">
        <v>1595</v>
      </c>
      <c r="E130" s="1" t="s">
        <v>785</v>
      </c>
      <c r="F130" s="1" t="s">
        <v>1515</v>
      </c>
      <c r="G130" s="1" t="s">
        <v>1596</v>
      </c>
      <c r="H130" s="1" t="s">
        <v>1596</v>
      </c>
      <c r="I130" s="1" t="s">
        <v>21</v>
      </c>
      <c r="J130" s="1" t="s">
        <v>1597</v>
      </c>
      <c r="K130" s="2">
        <v>-68.838908</v>
      </c>
      <c r="L130" s="2">
        <v>-32.8902308</v>
      </c>
    </row>
    <row r="131">
      <c r="A131" s="1">
        <v>512.0</v>
      </c>
      <c r="B131" s="1" t="s">
        <v>109</v>
      </c>
      <c r="C131" s="1">
        <v>4.0</v>
      </c>
      <c r="D131" s="1" t="s">
        <v>1599</v>
      </c>
      <c r="E131" s="1" t="s">
        <v>785</v>
      </c>
      <c r="F131" s="1" t="s">
        <v>1515</v>
      </c>
      <c r="G131" s="1" t="s">
        <v>1600</v>
      </c>
      <c r="H131" s="1" t="s">
        <v>1601</v>
      </c>
      <c r="I131" s="1" t="s">
        <v>21</v>
      </c>
      <c r="J131" s="1" t="s">
        <v>1602</v>
      </c>
      <c r="K131" s="2">
        <v>-68.8389069</v>
      </c>
      <c r="L131" s="2">
        <v>-32.8893261</v>
      </c>
    </row>
    <row r="132">
      <c r="A132" s="1">
        <v>571.0</v>
      </c>
      <c r="B132" s="1" t="s">
        <v>109</v>
      </c>
      <c r="C132" s="1">
        <v>8.0</v>
      </c>
      <c r="D132" s="1" t="s">
        <v>1605</v>
      </c>
      <c r="E132" s="1" t="s">
        <v>785</v>
      </c>
      <c r="F132" s="1" t="s">
        <v>1515</v>
      </c>
      <c r="G132" s="1" t="s">
        <v>1607</v>
      </c>
      <c r="H132" s="1" t="s">
        <v>1607</v>
      </c>
      <c r="I132" s="1" t="s">
        <v>21</v>
      </c>
      <c r="J132" s="1" t="s">
        <v>1608</v>
      </c>
      <c r="K132" s="2">
        <v>-68.8379999</v>
      </c>
      <c r="L132" s="2">
        <v>-32.8852308</v>
      </c>
    </row>
    <row r="133">
      <c r="A133" s="1">
        <v>574.0</v>
      </c>
      <c r="B133" s="1" t="s">
        <v>109</v>
      </c>
      <c r="C133" s="1">
        <v>9.0</v>
      </c>
      <c r="D133" s="1" t="s">
        <v>1610</v>
      </c>
      <c r="E133" s="1" t="s">
        <v>785</v>
      </c>
      <c r="F133" s="1" t="s">
        <v>1515</v>
      </c>
      <c r="G133" s="1" t="s">
        <v>1612</v>
      </c>
      <c r="H133" s="1" t="s">
        <v>1613</v>
      </c>
      <c r="I133" s="1" t="s">
        <v>21</v>
      </c>
      <c r="J133" s="1" t="s">
        <v>1614</v>
      </c>
      <c r="K133" s="2">
        <v>-68.8382343</v>
      </c>
      <c r="L133" s="2">
        <v>-32.8853394</v>
      </c>
    </row>
    <row r="134">
      <c r="A134" s="1">
        <v>595.0</v>
      </c>
      <c r="B134" s="1" t="s">
        <v>109</v>
      </c>
      <c r="C134" s="1">
        <v>10.0</v>
      </c>
      <c r="D134" s="1" t="s">
        <v>1616</v>
      </c>
      <c r="E134" s="1" t="s">
        <v>785</v>
      </c>
      <c r="F134" s="1" t="s">
        <v>1515</v>
      </c>
      <c r="G134" s="1" t="s">
        <v>1618</v>
      </c>
      <c r="H134" s="1" t="s">
        <v>1618</v>
      </c>
      <c r="I134" s="1" t="s">
        <v>21</v>
      </c>
      <c r="J134" s="1" t="s">
        <v>1620</v>
      </c>
      <c r="K134" s="2">
        <v>-68.8386419</v>
      </c>
      <c r="L134" s="2">
        <v>-32.886994</v>
      </c>
    </row>
    <row r="135">
      <c r="A135" s="1">
        <v>613.0</v>
      </c>
      <c r="B135" s="1" t="s">
        <v>109</v>
      </c>
      <c r="C135" s="1">
        <v>12.0</v>
      </c>
      <c r="D135" s="1" t="s">
        <v>1561</v>
      </c>
      <c r="E135" s="1" t="s">
        <v>785</v>
      </c>
      <c r="F135" s="1" t="s">
        <v>1515</v>
      </c>
      <c r="G135" s="1" t="s">
        <v>1623</v>
      </c>
      <c r="H135" s="1" t="s">
        <v>1623</v>
      </c>
      <c r="I135" s="1" t="s">
        <v>21</v>
      </c>
      <c r="J135" s="1" t="s">
        <v>1625</v>
      </c>
      <c r="K135" s="2">
        <v>-68.83919</v>
      </c>
      <c r="L135" s="2">
        <v>-32.888964</v>
      </c>
    </row>
    <row r="136">
      <c r="A136" s="1">
        <v>619.0</v>
      </c>
      <c r="B136" s="1" t="s">
        <v>109</v>
      </c>
      <c r="C136" s="1">
        <v>13.0</v>
      </c>
      <c r="D136" s="1" t="s">
        <v>1561</v>
      </c>
      <c r="E136" s="1" t="s">
        <v>785</v>
      </c>
      <c r="F136" s="1" t="s">
        <v>1515</v>
      </c>
      <c r="G136" s="1" t="s">
        <v>1627</v>
      </c>
      <c r="H136" s="1" t="s">
        <v>1627</v>
      </c>
      <c r="I136" s="1" t="s">
        <v>21</v>
      </c>
      <c r="J136" s="1" t="s">
        <v>1629</v>
      </c>
      <c r="K136" s="2">
        <v>-68.8395634</v>
      </c>
      <c r="L136" s="2">
        <v>-32.8904337</v>
      </c>
    </row>
    <row r="137">
      <c r="A137" s="1">
        <v>626.0</v>
      </c>
      <c r="B137" s="1" t="s">
        <v>109</v>
      </c>
      <c r="C137" s="1">
        <v>13.0</v>
      </c>
      <c r="D137" s="1" t="s">
        <v>1631</v>
      </c>
      <c r="E137" s="1" t="s">
        <v>785</v>
      </c>
      <c r="F137" s="1" t="s">
        <v>1515</v>
      </c>
      <c r="G137" s="1" t="s">
        <v>1633</v>
      </c>
      <c r="H137" s="1" t="s">
        <v>1633</v>
      </c>
      <c r="I137" s="1" t="s">
        <v>21</v>
      </c>
      <c r="J137" s="1" t="s">
        <v>1634</v>
      </c>
      <c r="K137" s="2">
        <v>-68.8393799</v>
      </c>
      <c r="L137" s="2">
        <v>-32.8896499</v>
      </c>
    </row>
    <row r="138">
      <c r="A138" s="1">
        <v>631.0</v>
      </c>
      <c r="B138" s="1" t="s">
        <v>109</v>
      </c>
      <c r="C138" s="1">
        <v>14.0</v>
      </c>
      <c r="D138" s="1" t="s">
        <v>1566</v>
      </c>
      <c r="E138" s="1" t="s">
        <v>785</v>
      </c>
      <c r="F138" s="1" t="s">
        <v>1515</v>
      </c>
      <c r="G138" s="1" t="s">
        <v>1636</v>
      </c>
      <c r="H138" s="1" t="s">
        <v>1637</v>
      </c>
      <c r="I138" s="1" t="s">
        <v>21</v>
      </c>
      <c r="J138" s="1" t="s">
        <v>1638</v>
      </c>
      <c r="K138" s="2">
        <v>-68.839767</v>
      </c>
      <c r="L138" s="2">
        <v>-32.8912009</v>
      </c>
    </row>
    <row r="139">
      <c r="A139" s="1">
        <v>638.0</v>
      </c>
      <c r="B139" s="1" t="s">
        <v>109</v>
      </c>
      <c r="C139" s="1">
        <v>14.0</v>
      </c>
      <c r="D139" s="1" t="s">
        <v>1641</v>
      </c>
      <c r="E139" s="1" t="s">
        <v>785</v>
      </c>
      <c r="F139" s="1" t="s">
        <v>1515</v>
      </c>
      <c r="G139" s="1" t="s">
        <v>1642</v>
      </c>
      <c r="H139" s="1" t="s">
        <v>1642</v>
      </c>
      <c r="I139" s="1" t="s">
        <v>21</v>
      </c>
      <c r="J139" s="1" t="s">
        <v>1643</v>
      </c>
      <c r="K139" s="2">
        <v>-68.8331</v>
      </c>
      <c r="L139" s="2">
        <v>-32.892803</v>
      </c>
    </row>
    <row r="140">
      <c r="A140" s="1">
        <v>639.0</v>
      </c>
      <c r="B140" s="1" t="s">
        <v>109</v>
      </c>
      <c r="C140" s="1">
        <v>14.0</v>
      </c>
      <c r="D140" s="1" t="s">
        <v>1646</v>
      </c>
      <c r="E140" s="1" t="s">
        <v>785</v>
      </c>
      <c r="F140" s="1" t="s">
        <v>1515</v>
      </c>
      <c r="G140" s="1" t="s">
        <v>1647</v>
      </c>
      <c r="H140" s="1" t="s">
        <v>1647</v>
      </c>
      <c r="I140" s="1" t="s">
        <v>21</v>
      </c>
      <c r="J140" s="1" t="s">
        <v>1648</v>
      </c>
      <c r="K140" s="2">
        <v>-68.83874899999999</v>
      </c>
      <c r="L140" s="2">
        <v>-32.890197</v>
      </c>
    </row>
    <row r="141">
      <c r="A141" s="1">
        <v>653.0</v>
      </c>
      <c r="B141" s="1" t="s">
        <v>109</v>
      </c>
      <c r="C141" s="1">
        <v>15.0</v>
      </c>
      <c r="D141" s="1" t="s">
        <v>1561</v>
      </c>
      <c r="E141" s="1" t="s">
        <v>785</v>
      </c>
      <c r="F141" s="1" t="s">
        <v>1515</v>
      </c>
      <c r="G141" s="1" t="s">
        <v>1651</v>
      </c>
      <c r="H141" s="1" t="s">
        <v>1651</v>
      </c>
      <c r="I141" s="1" t="s">
        <v>21</v>
      </c>
      <c r="J141" s="1" t="s">
        <v>1652</v>
      </c>
      <c r="K141" s="2">
        <v>-68.8399622</v>
      </c>
      <c r="L141" s="2">
        <v>-32.892048</v>
      </c>
    </row>
    <row r="142">
      <c r="A142" s="1">
        <v>786.0</v>
      </c>
      <c r="B142" s="1" t="s">
        <v>55</v>
      </c>
      <c r="C142" s="1">
        <v>1.0</v>
      </c>
      <c r="D142" s="1" t="s">
        <v>1654</v>
      </c>
      <c r="E142" s="1" t="s">
        <v>785</v>
      </c>
      <c r="F142" s="1" t="s">
        <v>1515</v>
      </c>
      <c r="G142" s="1" t="s">
        <v>1365</v>
      </c>
      <c r="H142" s="1" t="s">
        <v>1656</v>
      </c>
      <c r="I142" s="1" t="s">
        <v>21</v>
      </c>
      <c r="J142" s="1" t="s">
        <v>1658</v>
      </c>
      <c r="K142" s="2">
        <v>-68.838657</v>
      </c>
      <c r="L142" s="2">
        <v>-32.8860729</v>
      </c>
    </row>
    <row r="143">
      <c r="A143" s="1">
        <v>792.0</v>
      </c>
      <c r="B143" s="1" t="s">
        <v>55</v>
      </c>
      <c r="C143" s="1">
        <v>1.0</v>
      </c>
      <c r="D143" s="1" t="s">
        <v>1566</v>
      </c>
      <c r="E143" s="1" t="s">
        <v>785</v>
      </c>
      <c r="F143" s="1" t="s">
        <v>1515</v>
      </c>
      <c r="G143" s="1" t="s">
        <v>1660</v>
      </c>
      <c r="H143" s="1" t="s">
        <v>1660</v>
      </c>
      <c r="I143" s="1" t="s">
        <v>21</v>
      </c>
      <c r="J143" s="1" t="s">
        <v>1662</v>
      </c>
      <c r="K143" s="2">
        <v>-68.8393086</v>
      </c>
      <c r="L143" s="2">
        <v>-32.885954</v>
      </c>
    </row>
    <row r="144">
      <c r="A144" s="1">
        <v>813.0</v>
      </c>
      <c r="B144" s="1" t="s">
        <v>55</v>
      </c>
      <c r="C144" s="1">
        <v>3.0</v>
      </c>
      <c r="D144" s="1" t="s">
        <v>1561</v>
      </c>
      <c r="E144" s="1" t="s">
        <v>785</v>
      </c>
      <c r="F144" s="1" t="s">
        <v>1515</v>
      </c>
      <c r="G144" s="1" t="s">
        <v>1664</v>
      </c>
      <c r="H144" s="1" t="s">
        <v>1664</v>
      </c>
      <c r="I144" s="1" t="s">
        <v>21</v>
      </c>
      <c r="J144" s="1" t="s">
        <v>1665</v>
      </c>
      <c r="K144" s="2">
        <v>-68.84109</v>
      </c>
      <c r="L144" s="2">
        <v>-32.88561200000001</v>
      </c>
    </row>
    <row r="145">
      <c r="A145" s="1">
        <v>826.0</v>
      </c>
      <c r="B145" s="1" t="s">
        <v>55</v>
      </c>
      <c r="C145" s="1">
        <v>3.0</v>
      </c>
      <c r="D145" s="1" t="s">
        <v>1631</v>
      </c>
      <c r="E145" s="1" t="s">
        <v>785</v>
      </c>
      <c r="F145" s="1" t="s">
        <v>1515</v>
      </c>
      <c r="G145" s="1" t="s">
        <v>1668</v>
      </c>
      <c r="H145" s="1" t="s">
        <v>1668</v>
      </c>
      <c r="I145" s="1" t="s">
        <v>21</v>
      </c>
      <c r="J145" s="1" t="s">
        <v>1670</v>
      </c>
      <c r="K145" s="2">
        <v>-68.841376</v>
      </c>
      <c r="L145" s="2">
        <v>-32.885549</v>
      </c>
    </row>
    <row r="146">
      <c r="A146" s="1">
        <v>837.0</v>
      </c>
      <c r="B146" s="1" t="s">
        <v>55</v>
      </c>
      <c r="C146" s="1">
        <v>4.0</v>
      </c>
      <c r="D146" s="1" t="s">
        <v>1672</v>
      </c>
      <c r="E146" s="1" t="s">
        <v>785</v>
      </c>
      <c r="F146" s="1" t="s">
        <v>1515</v>
      </c>
      <c r="G146" s="1" t="s">
        <v>1673</v>
      </c>
      <c r="H146" s="1" t="s">
        <v>1674</v>
      </c>
      <c r="I146" s="1" t="s">
        <v>21</v>
      </c>
      <c r="J146" s="1" t="s">
        <v>1675</v>
      </c>
      <c r="K146" s="2">
        <v>-68.84232890000001</v>
      </c>
      <c r="L146" s="2">
        <v>-32.885444</v>
      </c>
    </row>
    <row r="147">
      <c r="A147" s="1">
        <v>839.0</v>
      </c>
      <c r="B147" s="1" t="s">
        <v>55</v>
      </c>
      <c r="C147" s="1">
        <v>4.0</v>
      </c>
      <c r="D147" s="1" t="s">
        <v>1566</v>
      </c>
      <c r="E147" s="1" t="s">
        <v>785</v>
      </c>
      <c r="F147" s="1" t="s">
        <v>1515</v>
      </c>
      <c r="G147" s="1" t="s">
        <v>58</v>
      </c>
      <c r="H147" s="1" t="s">
        <v>1678</v>
      </c>
      <c r="I147" s="1" t="s">
        <v>21</v>
      </c>
      <c r="J147" s="1" t="s">
        <v>61</v>
      </c>
      <c r="K147" s="2">
        <v>-68.8427871</v>
      </c>
      <c r="L147" s="2">
        <v>-32.8854809</v>
      </c>
    </row>
    <row r="148">
      <c r="A148" s="1">
        <v>1041.0</v>
      </c>
      <c r="B148" s="1" t="s">
        <v>62</v>
      </c>
      <c r="C148" s="1">
        <v>10.0</v>
      </c>
      <c r="D148" s="1" t="s">
        <v>1682</v>
      </c>
      <c r="E148" s="1" t="s">
        <v>785</v>
      </c>
      <c r="F148" s="1" t="s">
        <v>1515</v>
      </c>
      <c r="G148" s="1" t="s">
        <v>1683</v>
      </c>
      <c r="H148" s="1" t="s">
        <v>1683</v>
      </c>
      <c r="I148" s="1" t="s">
        <v>21</v>
      </c>
      <c r="J148" s="1" t="s">
        <v>1684</v>
      </c>
      <c r="K148" s="2">
        <v>-68.848738</v>
      </c>
      <c r="L148" s="2">
        <v>-32.8936239</v>
      </c>
    </row>
    <row r="149">
      <c r="A149" s="1">
        <v>1091.0</v>
      </c>
      <c r="B149" s="1" t="s">
        <v>62</v>
      </c>
      <c r="C149" s="1">
        <v>14.0</v>
      </c>
      <c r="D149" s="1" t="s">
        <v>1685</v>
      </c>
      <c r="E149" s="1" t="s">
        <v>785</v>
      </c>
      <c r="F149" s="1" t="s">
        <v>1515</v>
      </c>
      <c r="G149" s="1" t="s">
        <v>1686</v>
      </c>
      <c r="H149" s="1" t="s">
        <v>1686</v>
      </c>
      <c r="I149" s="1" t="s">
        <v>21</v>
      </c>
      <c r="J149" s="1" t="s">
        <v>1687</v>
      </c>
      <c r="K149" s="2">
        <v>-68.843639</v>
      </c>
      <c r="L149" s="2">
        <v>-32.894478</v>
      </c>
    </row>
    <row r="150">
      <c r="A150" s="1">
        <v>1182.0</v>
      </c>
      <c r="B150" s="1" t="s">
        <v>120</v>
      </c>
      <c r="C150" s="1">
        <v>6.0</v>
      </c>
      <c r="D150" s="1" t="s">
        <v>1631</v>
      </c>
      <c r="E150" s="1" t="s">
        <v>785</v>
      </c>
      <c r="F150" s="1" t="s">
        <v>1515</v>
      </c>
      <c r="G150" s="1" t="s">
        <v>1689</v>
      </c>
      <c r="H150" s="1" t="s">
        <v>1689</v>
      </c>
      <c r="I150" s="1" t="s">
        <v>21</v>
      </c>
      <c r="J150" s="1" t="s">
        <v>1691</v>
      </c>
      <c r="K150" s="2">
        <v>-68.83910449999999</v>
      </c>
      <c r="L150" s="2">
        <v>-32.8895613</v>
      </c>
    </row>
    <row r="151">
      <c r="A151" s="1">
        <v>1205.0</v>
      </c>
      <c r="B151" s="1" t="s">
        <v>227</v>
      </c>
      <c r="C151" s="1">
        <v>3.0</v>
      </c>
      <c r="D151" s="1" t="s">
        <v>1693</v>
      </c>
      <c r="E151" s="1" t="s">
        <v>785</v>
      </c>
      <c r="F151" s="1" t="s">
        <v>1515</v>
      </c>
      <c r="G151" s="1" t="s">
        <v>1694</v>
      </c>
      <c r="H151" s="1" t="s">
        <v>1696</v>
      </c>
      <c r="I151" s="1" t="s">
        <v>21</v>
      </c>
      <c r="J151" s="1" t="s">
        <v>1697</v>
      </c>
      <c r="K151" s="2">
        <v>-68.840599</v>
      </c>
      <c r="L151" s="2">
        <v>-32.883454</v>
      </c>
    </row>
    <row r="152">
      <c r="A152" s="1">
        <v>1225.0</v>
      </c>
      <c r="B152" s="1" t="s">
        <v>227</v>
      </c>
      <c r="C152" s="1">
        <v>8.0</v>
      </c>
      <c r="D152" s="1" t="s">
        <v>1699</v>
      </c>
      <c r="E152" s="1" t="s">
        <v>785</v>
      </c>
      <c r="F152" s="1" t="s">
        <v>1515</v>
      </c>
      <c r="G152" s="1" t="s">
        <v>1700</v>
      </c>
      <c r="H152" s="1" t="s">
        <v>1701</v>
      </c>
      <c r="I152" s="1" t="s">
        <v>21</v>
      </c>
      <c r="J152" s="1" t="s">
        <v>1702</v>
      </c>
      <c r="K152" s="2">
        <v>-68.81924959999999</v>
      </c>
      <c r="L152" s="2">
        <v>-32.8636294</v>
      </c>
    </row>
    <row r="153">
      <c r="B153" s="1" t="s">
        <v>227</v>
      </c>
      <c r="C153" s="1">
        <v>8.0</v>
      </c>
      <c r="D153" s="1" t="s">
        <v>1705</v>
      </c>
      <c r="E153" s="1" t="s">
        <v>785</v>
      </c>
      <c r="F153" s="1" t="s">
        <v>1515</v>
      </c>
      <c r="G153" s="1" t="s">
        <v>1706</v>
      </c>
      <c r="H153" s="1" t="s">
        <v>1706</v>
      </c>
      <c r="I153" s="1" t="s">
        <v>21</v>
      </c>
      <c r="J153" s="1" t="s">
        <v>1708</v>
      </c>
      <c r="K153" s="2">
        <v>-68.8402856</v>
      </c>
      <c r="L153" s="2">
        <v>-32.8836744</v>
      </c>
    </row>
    <row r="154">
      <c r="A154" s="1">
        <v>1246.0</v>
      </c>
      <c r="B154" s="1" t="s">
        <v>227</v>
      </c>
      <c r="C154" s="1">
        <v>10.0</v>
      </c>
      <c r="D154" s="1" t="s">
        <v>1710</v>
      </c>
      <c r="E154" s="1" t="s">
        <v>785</v>
      </c>
      <c r="F154" s="1" t="s">
        <v>1515</v>
      </c>
      <c r="G154" s="1" t="s">
        <v>1712</v>
      </c>
      <c r="H154" s="1" t="s">
        <v>1712</v>
      </c>
      <c r="I154" s="1" t="s">
        <v>21</v>
      </c>
      <c r="J154" s="1" t="s">
        <v>1713</v>
      </c>
      <c r="K154" s="2">
        <v>-68.83807449999999</v>
      </c>
      <c r="L154" s="2">
        <v>-32.8842532</v>
      </c>
    </row>
    <row r="155">
      <c r="A155" s="1">
        <v>1361.0</v>
      </c>
      <c r="D155" s="1" t="s">
        <v>1714</v>
      </c>
      <c r="E155" s="1" t="s">
        <v>785</v>
      </c>
      <c r="F155" s="1" t="s">
        <v>1515</v>
      </c>
      <c r="G155" s="1" t="s">
        <v>1716</v>
      </c>
      <c r="I155" s="1" t="s">
        <v>21</v>
      </c>
      <c r="J155" s="1" t="s">
        <v>1717</v>
      </c>
      <c r="K155" s="2">
        <v>-68.839145</v>
      </c>
      <c r="L155" s="2">
        <v>-32.887802</v>
      </c>
    </row>
    <row r="156">
      <c r="A156" s="1">
        <v>1378.0</v>
      </c>
      <c r="D156" s="1" t="s">
        <v>1719</v>
      </c>
      <c r="E156" s="1" t="s">
        <v>785</v>
      </c>
      <c r="F156" s="1" t="s">
        <v>1515</v>
      </c>
      <c r="G156" s="1" t="s">
        <v>1720</v>
      </c>
      <c r="I156" s="1" t="s">
        <v>21</v>
      </c>
      <c r="J156" s="1" t="s">
        <v>1722</v>
      </c>
      <c r="K156" s="2">
        <v>-68.8389463</v>
      </c>
      <c r="L156" s="2">
        <v>-32.8899569</v>
      </c>
    </row>
    <row r="157">
      <c r="A157" s="1">
        <v>1381.0</v>
      </c>
      <c r="D157" s="1" t="s">
        <v>1725</v>
      </c>
      <c r="E157" s="1" t="s">
        <v>785</v>
      </c>
      <c r="F157" s="1" t="s">
        <v>1515</v>
      </c>
      <c r="G157" s="1" t="s">
        <v>1726</v>
      </c>
      <c r="I157" s="1" t="s">
        <v>21</v>
      </c>
      <c r="J157" s="1" t="s">
        <v>1728</v>
      </c>
      <c r="K157" s="2">
        <v>-68.8389463</v>
      </c>
      <c r="L157" s="2">
        <v>-32.8899569</v>
      </c>
    </row>
    <row r="158">
      <c r="A158" s="1">
        <v>1383.0</v>
      </c>
      <c r="D158" s="1" t="s">
        <v>1731</v>
      </c>
      <c r="E158" s="1" t="s">
        <v>785</v>
      </c>
      <c r="F158" s="1" t="s">
        <v>1515</v>
      </c>
      <c r="G158" s="1" t="s">
        <v>1732</v>
      </c>
      <c r="I158" s="1" t="s">
        <v>21</v>
      </c>
      <c r="J158" s="1" t="s">
        <v>1733</v>
      </c>
      <c r="K158" s="2">
        <v>-68.8389463</v>
      </c>
      <c r="L158" s="2">
        <v>-32.8899569</v>
      </c>
    </row>
    <row r="159">
      <c r="A159" s="1">
        <v>1384.0</v>
      </c>
      <c r="D159" s="1" t="s">
        <v>1735</v>
      </c>
      <c r="E159" s="1" t="s">
        <v>785</v>
      </c>
      <c r="F159" s="1" t="s">
        <v>1515</v>
      </c>
      <c r="G159" s="1" t="s">
        <v>1737</v>
      </c>
      <c r="I159" s="1" t="s">
        <v>21</v>
      </c>
      <c r="J159" s="1" t="s">
        <v>1738</v>
      </c>
      <c r="K159" s="2">
        <v>-68.8389463</v>
      </c>
      <c r="L159" s="2">
        <v>-32.8899569</v>
      </c>
    </row>
    <row r="160">
      <c r="A160" s="1">
        <v>1390.0</v>
      </c>
      <c r="D160" s="1" t="s">
        <v>1741</v>
      </c>
      <c r="E160" s="1" t="s">
        <v>785</v>
      </c>
      <c r="F160" s="1" t="s">
        <v>1515</v>
      </c>
      <c r="G160" s="1" t="s">
        <v>1743</v>
      </c>
      <c r="I160" s="1" t="s">
        <v>21</v>
      </c>
      <c r="J160" s="1" t="s">
        <v>1744</v>
      </c>
      <c r="K160" s="2">
        <v>-68.8389463</v>
      </c>
      <c r="L160" s="2">
        <v>-32.8899569</v>
      </c>
    </row>
    <row r="161">
      <c r="A161" s="1">
        <v>1393.0</v>
      </c>
      <c r="D161" s="1" t="s">
        <v>1746</v>
      </c>
      <c r="E161" s="1" t="s">
        <v>785</v>
      </c>
      <c r="F161" s="1" t="s">
        <v>1515</v>
      </c>
      <c r="G161" s="1" t="s">
        <v>1747</v>
      </c>
      <c r="I161" s="1" t="s">
        <v>21</v>
      </c>
      <c r="J161" s="1" t="s">
        <v>1748</v>
      </c>
      <c r="K161" s="2">
        <v>-68.8389463</v>
      </c>
      <c r="L161" s="2">
        <v>-32.8899569</v>
      </c>
    </row>
    <row r="162">
      <c r="A162" s="1">
        <v>1394.0</v>
      </c>
      <c r="D162" s="1" t="s">
        <v>1750</v>
      </c>
      <c r="E162" s="1" t="s">
        <v>785</v>
      </c>
      <c r="F162" s="1" t="s">
        <v>1515</v>
      </c>
      <c r="G162" s="1" t="s">
        <v>1752</v>
      </c>
      <c r="I162" s="1" t="s">
        <v>21</v>
      </c>
      <c r="J162" s="1" t="s">
        <v>1753</v>
      </c>
      <c r="K162" s="2">
        <v>-68.8389463</v>
      </c>
      <c r="L162" s="2">
        <v>-32.8899569</v>
      </c>
    </row>
    <row r="163">
      <c r="A163" s="1">
        <v>1401.0</v>
      </c>
      <c r="D163" s="1" t="s">
        <v>1754</v>
      </c>
      <c r="E163" s="1" t="s">
        <v>785</v>
      </c>
      <c r="F163" s="1" t="s">
        <v>1515</v>
      </c>
      <c r="G163" s="1" t="s">
        <v>1755</v>
      </c>
      <c r="I163" s="1" t="s">
        <v>21</v>
      </c>
      <c r="J163" s="1" t="s">
        <v>1757</v>
      </c>
      <c r="K163" s="2">
        <v>-68.8389463</v>
      </c>
      <c r="L163" s="2">
        <v>-32.8899569</v>
      </c>
    </row>
    <row r="164">
      <c r="A164" s="1">
        <v>1406.0</v>
      </c>
      <c r="D164" s="1" t="s">
        <v>1760</v>
      </c>
      <c r="E164" s="1" t="s">
        <v>785</v>
      </c>
      <c r="F164" s="1" t="s">
        <v>1515</v>
      </c>
      <c r="G164" s="1" t="s">
        <v>1761</v>
      </c>
      <c r="I164" s="1" t="s">
        <v>21</v>
      </c>
      <c r="J164" s="1" t="s">
        <v>1762</v>
      </c>
      <c r="K164" s="2">
        <v>-68.8389463</v>
      </c>
      <c r="L164" s="2">
        <v>-32.8899569</v>
      </c>
    </row>
    <row r="165">
      <c r="A165" s="1">
        <v>1408.0</v>
      </c>
      <c r="D165" s="1" t="s">
        <v>1764</v>
      </c>
      <c r="E165" s="1" t="s">
        <v>785</v>
      </c>
      <c r="F165" s="1" t="s">
        <v>1515</v>
      </c>
      <c r="G165" s="1" t="s">
        <v>1766</v>
      </c>
      <c r="I165" s="1" t="s">
        <v>21</v>
      </c>
      <c r="J165" s="1" t="s">
        <v>1767</v>
      </c>
      <c r="K165" s="2">
        <v>-68.8389463</v>
      </c>
      <c r="L165" s="2">
        <v>-32.8899569</v>
      </c>
    </row>
    <row r="166">
      <c r="A166" s="1">
        <v>1412.0</v>
      </c>
      <c r="D166" s="1" t="s">
        <v>1768</v>
      </c>
      <c r="E166" s="1" t="s">
        <v>785</v>
      </c>
      <c r="F166" s="1" t="s">
        <v>1515</v>
      </c>
      <c r="G166" s="1" t="s">
        <v>1770</v>
      </c>
      <c r="I166" s="1" t="s">
        <v>21</v>
      </c>
      <c r="J166" s="1" t="s">
        <v>1772</v>
      </c>
      <c r="K166" s="2">
        <v>-68.8389463</v>
      </c>
      <c r="L166" s="2">
        <v>-32.8899569</v>
      </c>
    </row>
    <row r="167">
      <c r="A167" s="1">
        <v>1418.0</v>
      </c>
      <c r="D167" s="1" t="s">
        <v>1774</v>
      </c>
      <c r="E167" s="1" t="s">
        <v>785</v>
      </c>
      <c r="F167" s="1" t="s">
        <v>1515</v>
      </c>
      <c r="G167" s="1" t="s">
        <v>1775</v>
      </c>
      <c r="I167" s="1" t="s">
        <v>21</v>
      </c>
      <c r="J167" s="1" t="s">
        <v>1776</v>
      </c>
      <c r="K167" s="2">
        <v>-68.8389463</v>
      </c>
      <c r="L167" s="2">
        <v>-32.8899569</v>
      </c>
    </row>
    <row r="168">
      <c r="A168" s="1">
        <v>1427.0</v>
      </c>
      <c r="D168" s="1" t="s">
        <v>1779</v>
      </c>
      <c r="E168" s="1" t="s">
        <v>785</v>
      </c>
      <c r="F168" s="1" t="s">
        <v>1515</v>
      </c>
      <c r="G168" s="1" t="s">
        <v>1780</v>
      </c>
      <c r="I168" s="1" t="s">
        <v>21</v>
      </c>
      <c r="J168" s="1" t="s">
        <v>1781</v>
      </c>
      <c r="K168" s="2">
        <v>-68.81747399999999</v>
      </c>
      <c r="L168" s="2">
        <v>-32.889279</v>
      </c>
    </row>
    <row r="169">
      <c r="A169" s="1">
        <v>1430.0</v>
      </c>
      <c r="D169" s="1" t="s">
        <v>1783</v>
      </c>
      <c r="E169" s="1" t="s">
        <v>785</v>
      </c>
      <c r="F169" s="1" t="s">
        <v>1515</v>
      </c>
      <c r="G169" s="1" t="s">
        <v>1785</v>
      </c>
      <c r="I169" s="1" t="s">
        <v>21</v>
      </c>
      <c r="J169" s="1" t="s">
        <v>1786</v>
      </c>
      <c r="K169" s="2">
        <v>-68.8391923</v>
      </c>
      <c r="L169" s="2">
        <v>-32.8906772</v>
      </c>
    </row>
    <row r="170">
      <c r="A170" s="1">
        <v>1434.0</v>
      </c>
      <c r="D170" s="1" t="s">
        <v>1787</v>
      </c>
      <c r="E170" s="1" t="s">
        <v>785</v>
      </c>
      <c r="F170" s="1" t="s">
        <v>1515</v>
      </c>
      <c r="G170" s="1" t="s">
        <v>1788</v>
      </c>
      <c r="I170" s="1" t="s">
        <v>21</v>
      </c>
      <c r="J170" s="1" t="s">
        <v>1789</v>
      </c>
      <c r="K170" s="2">
        <v>-68.8391923</v>
      </c>
      <c r="L170" s="2">
        <v>-32.8906772</v>
      </c>
    </row>
    <row r="171">
      <c r="A171" s="1">
        <v>1435.0</v>
      </c>
      <c r="D171" s="1" t="s">
        <v>1790</v>
      </c>
      <c r="E171" s="1" t="s">
        <v>785</v>
      </c>
      <c r="F171" s="1" t="s">
        <v>1515</v>
      </c>
      <c r="G171" s="1" t="s">
        <v>1791</v>
      </c>
      <c r="I171" s="1" t="s">
        <v>21</v>
      </c>
      <c r="J171" s="1" t="s">
        <v>1793</v>
      </c>
      <c r="K171" s="2">
        <v>-68.8391923</v>
      </c>
      <c r="L171" s="2">
        <v>-32.8906772</v>
      </c>
    </row>
    <row r="172">
      <c r="A172" s="1">
        <v>1436.0</v>
      </c>
      <c r="D172" s="1" t="s">
        <v>1796</v>
      </c>
      <c r="E172" s="1" t="s">
        <v>785</v>
      </c>
      <c r="F172" s="1" t="s">
        <v>1515</v>
      </c>
      <c r="G172" s="1" t="s">
        <v>1797</v>
      </c>
      <c r="I172" s="1" t="s">
        <v>21</v>
      </c>
      <c r="J172" s="1" t="s">
        <v>1798</v>
      </c>
      <c r="K172" s="2">
        <v>-68.8391923</v>
      </c>
      <c r="L172" s="2">
        <v>-32.8906772</v>
      </c>
    </row>
    <row r="173">
      <c r="A173" s="1">
        <v>1438.0</v>
      </c>
      <c r="D173" s="1" t="s">
        <v>1796</v>
      </c>
      <c r="E173" s="1" t="s">
        <v>785</v>
      </c>
      <c r="F173" s="1" t="s">
        <v>1515</v>
      </c>
      <c r="G173" s="1" t="s">
        <v>1801</v>
      </c>
      <c r="I173" s="1" t="s">
        <v>21</v>
      </c>
      <c r="J173" s="1" t="s">
        <v>1802</v>
      </c>
      <c r="K173" s="2">
        <v>-68.8389463</v>
      </c>
      <c r="L173" s="2">
        <v>-32.8899569</v>
      </c>
    </row>
    <row r="174">
      <c r="A174" s="1">
        <v>1440.0</v>
      </c>
      <c r="D174" s="1" t="s">
        <v>1803</v>
      </c>
      <c r="E174" s="1" t="s">
        <v>785</v>
      </c>
      <c r="F174" s="1" t="s">
        <v>1515</v>
      </c>
      <c r="G174" s="1" t="s">
        <v>1805</v>
      </c>
      <c r="I174" s="1" t="s">
        <v>21</v>
      </c>
      <c r="J174" s="1" t="s">
        <v>1806</v>
      </c>
      <c r="K174" s="2">
        <v>-68.8391923</v>
      </c>
      <c r="L174" s="2">
        <v>-32.8906772</v>
      </c>
    </row>
    <row r="175">
      <c r="A175" s="1">
        <v>1444.0</v>
      </c>
      <c r="D175" s="1" t="s">
        <v>1808</v>
      </c>
      <c r="E175" s="1" t="s">
        <v>785</v>
      </c>
      <c r="F175" s="1" t="s">
        <v>1515</v>
      </c>
      <c r="G175" s="1" t="s">
        <v>1810</v>
      </c>
      <c r="I175" s="1" t="s">
        <v>21</v>
      </c>
      <c r="J175" s="1" t="s">
        <v>1811</v>
      </c>
      <c r="K175" s="2">
        <v>-68.8389463</v>
      </c>
      <c r="L175" s="2">
        <v>-32.8899569</v>
      </c>
    </row>
    <row r="176">
      <c r="A176" s="1">
        <v>1446.0</v>
      </c>
      <c r="D176" s="1" t="s">
        <v>1813</v>
      </c>
      <c r="E176" s="1" t="s">
        <v>785</v>
      </c>
      <c r="F176" s="1" t="s">
        <v>1515</v>
      </c>
      <c r="G176" s="1" t="s">
        <v>1819</v>
      </c>
      <c r="I176" s="1" t="s">
        <v>21</v>
      </c>
      <c r="J176" s="1" t="s">
        <v>1821</v>
      </c>
      <c r="K176" s="2">
        <v>-68.8389463</v>
      </c>
      <c r="L176" s="2">
        <v>-32.8899569</v>
      </c>
    </row>
    <row r="177">
      <c r="A177" s="1">
        <v>1464.0</v>
      </c>
      <c r="D177" s="1" t="s">
        <v>1822</v>
      </c>
      <c r="E177" s="1" t="s">
        <v>785</v>
      </c>
      <c r="F177" s="1" t="s">
        <v>1515</v>
      </c>
      <c r="G177" s="1" t="s">
        <v>1823</v>
      </c>
      <c r="I177" s="1" t="s">
        <v>21</v>
      </c>
      <c r="J177" s="1" t="s">
        <v>1825</v>
      </c>
      <c r="K177" s="2">
        <v>-68.838724</v>
      </c>
      <c r="L177" s="2">
        <v>-32.889123</v>
      </c>
    </row>
    <row r="178">
      <c r="A178" s="1">
        <v>1594.0</v>
      </c>
      <c r="D178" s="1" t="s">
        <v>1828</v>
      </c>
      <c r="E178" s="1" t="s">
        <v>785</v>
      </c>
      <c r="F178" s="1" t="s">
        <v>1515</v>
      </c>
      <c r="G178" s="1" t="s">
        <v>1830</v>
      </c>
      <c r="I178" s="1" t="s">
        <v>21</v>
      </c>
      <c r="J178" s="1" t="s">
        <v>1831</v>
      </c>
      <c r="K178" s="2">
        <v>-68.8395215</v>
      </c>
      <c r="L178" s="2">
        <v>-32.8901412</v>
      </c>
    </row>
    <row r="179">
      <c r="A179" s="1">
        <v>1599.0</v>
      </c>
      <c r="D179" s="1" t="s">
        <v>1835</v>
      </c>
      <c r="E179" s="1" t="s">
        <v>785</v>
      </c>
      <c r="F179" s="1" t="s">
        <v>1515</v>
      </c>
      <c r="G179" s="1" t="s">
        <v>1837</v>
      </c>
      <c r="I179" s="1" t="s">
        <v>21</v>
      </c>
      <c r="J179" s="1" t="s">
        <v>1838</v>
      </c>
      <c r="K179" s="2">
        <v>-68.83892829999999</v>
      </c>
      <c r="L179" s="2">
        <v>-32.8897494</v>
      </c>
    </row>
    <row r="180">
      <c r="A180" s="1">
        <v>768.0</v>
      </c>
      <c r="B180" s="1" t="s">
        <v>36</v>
      </c>
      <c r="C180" s="1">
        <v>14.0</v>
      </c>
      <c r="D180" s="1" t="s">
        <v>1840</v>
      </c>
      <c r="E180" s="1" t="s">
        <v>785</v>
      </c>
      <c r="F180" s="1" t="s">
        <v>1842</v>
      </c>
      <c r="G180" s="1" t="s">
        <v>1843</v>
      </c>
      <c r="H180" s="1" t="s">
        <v>1843</v>
      </c>
      <c r="I180" s="1" t="s">
        <v>21</v>
      </c>
      <c r="J180" s="1" t="s">
        <v>1845</v>
      </c>
      <c r="K180" s="2">
        <v>-68.8378688</v>
      </c>
      <c r="L180" s="2">
        <v>-32.8837764</v>
      </c>
    </row>
    <row r="181">
      <c r="A181" s="1">
        <v>1092.0</v>
      </c>
      <c r="B181" s="1" t="s">
        <v>62</v>
      </c>
      <c r="C181" s="1">
        <v>14.0</v>
      </c>
      <c r="D181" s="1" t="s">
        <v>1848</v>
      </c>
      <c r="E181" s="1" t="s">
        <v>785</v>
      </c>
      <c r="F181" s="1" t="s">
        <v>1842</v>
      </c>
      <c r="G181" s="1" t="s">
        <v>1851</v>
      </c>
      <c r="H181" s="1" t="s">
        <v>1851</v>
      </c>
      <c r="I181" s="1" t="s">
        <v>21</v>
      </c>
      <c r="J181" s="1" t="s">
        <v>1854</v>
      </c>
      <c r="K181" s="2">
        <v>-68.84355839999999</v>
      </c>
      <c r="L181" s="2">
        <v>-32.8945878</v>
      </c>
    </row>
    <row r="182">
      <c r="A182" s="1">
        <v>37.0</v>
      </c>
      <c r="B182" s="1" t="s">
        <v>12</v>
      </c>
      <c r="C182" s="1">
        <v>8.0</v>
      </c>
      <c r="D182" s="1" t="s">
        <v>1857</v>
      </c>
      <c r="E182" s="1" t="s">
        <v>785</v>
      </c>
      <c r="F182" s="1" t="s">
        <v>1858</v>
      </c>
      <c r="G182" s="1" t="s">
        <v>1860</v>
      </c>
      <c r="H182" s="1" t="s">
        <v>1860</v>
      </c>
      <c r="I182" s="1" t="s">
        <v>21</v>
      </c>
      <c r="J182" s="1" t="s">
        <v>1862</v>
      </c>
      <c r="K182" s="2">
        <v>-68.859166</v>
      </c>
      <c r="L182" s="2">
        <v>-32.88340400000001</v>
      </c>
    </row>
    <row r="183">
      <c r="A183" s="1">
        <v>51.0</v>
      </c>
      <c r="B183" s="1" t="s">
        <v>12</v>
      </c>
      <c r="C183" s="1">
        <v>10.0</v>
      </c>
      <c r="D183" s="1" t="s">
        <v>1863</v>
      </c>
      <c r="E183" s="1" t="s">
        <v>785</v>
      </c>
      <c r="F183" s="1" t="s">
        <v>1858</v>
      </c>
      <c r="G183" s="1" t="s">
        <v>1864</v>
      </c>
      <c r="H183" s="1" t="s">
        <v>1864</v>
      </c>
      <c r="I183" s="1" t="s">
        <v>21</v>
      </c>
      <c r="J183" s="1" t="s">
        <v>1866</v>
      </c>
      <c r="K183" s="2">
        <v>-68.8584407</v>
      </c>
      <c r="L183" s="2">
        <v>-32.8836804</v>
      </c>
    </row>
    <row r="184">
      <c r="A184" s="1">
        <v>52.0</v>
      </c>
      <c r="B184" s="1" t="s">
        <v>12</v>
      </c>
      <c r="C184" s="1">
        <v>10.0</v>
      </c>
      <c r="D184" s="1" t="s">
        <v>1863</v>
      </c>
      <c r="E184" s="1" t="s">
        <v>785</v>
      </c>
      <c r="F184" s="1" t="s">
        <v>1858</v>
      </c>
      <c r="G184" s="1" t="s">
        <v>1864</v>
      </c>
      <c r="H184" s="1" t="s">
        <v>1864</v>
      </c>
      <c r="I184" s="1" t="s">
        <v>21</v>
      </c>
      <c r="J184" s="1" t="s">
        <v>1866</v>
      </c>
      <c r="K184" s="2">
        <v>-68.8584407</v>
      </c>
      <c r="L184" s="2">
        <v>-32.8836804</v>
      </c>
    </row>
    <row r="185">
      <c r="A185" s="1">
        <v>65.0</v>
      </c>
      <c r="B185" s="1" t="s">
        <v>12</v>
      </c>
      <c r="C185" s="1">
        <v>13.0</v>
      </c>
      <c r="D185" s="1" t="s">
        <v>1874</v>
      </c>
      <c r="E185" s="1" t="s">
        <v>785</v>
      </c>
      <c r="F185" s="1" t="s">
        <v>1858</v>
      </c>
      <c r="G185" s="1" t="s">
        <v>1875</v>
      </c>
      <c r="H185" s="1" t="s">
        <v>1875</v>
      </c>
      <c r="I185" s="1" t="s">
        <v>21</v>
      </c>
      <c r="J185" s="1" t="s">
        <v>1876</v>
      </c>
      <c r="K185" s="2">
        <v>-68.8530306</v>
      </c>
      <c r="L185" s="2">
        <v>-32.8839757</v>
      </c>
    </row>
    <row r="186">
      <c r="A186" s="1">
        <v>192.0</v>
      </c>
      <c r="B186" s="1" t="s">
        <v>29</v>
      </c>
      <c r="C186" s="1">
        <v>10.0</v>
      </c>
      <c r="D186" s="1" t="s">
        <v>1879</v>
      </c>
      <c r="E186" s="1" t="s">
        <v>785</v>
      </c>
      <c r="F186" s="1" t="s">
        <v>1858</v>
      </c>
      <c r="G186" s="3" t="s">
        <v>1884</v>
      </c>
      <c r="H186" s="3" t="s">
        <v>1884</v>
      </c>
      <c r="I186" s="1" t="s">
        <v>21</v>
      </c>
      <c r="J186" s="1" t="s">
        <v>1888</v>
      </c>
      <c r="K186" s="2">
        <v>-68.8407235</v>
      </c>
      <c r="L186" s="2">
        <v>-32.891178</v>
      </c>
    </row>
    <row r="187">
      <c r="A187" s="1">
        <v>247.0</v>
      </c>
      <c r="B187" s="1" t="s">
        <v>29</v>
      </c>
      <c r="C187" s="1">
        <v>15.0</v>
      </c>
      <c r="D187" s="1" t="s">
        <v>1889</v>
      </c>
      <c r="E187" s="1" t="s">
        <v>785</v>
      </c>
      <c r="F187" s="1" t="s">
        <v>1858</v>
      </c>
      <c r="G187" s="3" t="s">
        <v>1892</v>
      </c>
      <c r="H187" s="3" t="s">
        <v>1892</v>
      </c>
      <c r="I187" s="1" t="s">
        <v>21</v>
      </c>
      <c r="J187" s="1" t="s">
        <v>1894</v>
      </c>
      <c r="K187" s="2">
        <v>-68.8392231</v>
      </c>
      <c r="L187" s="2">
        <v>-32.8852479</v>
      </c>
    </row>
    <row r="188">
      <c r="A188" s="1">
        <v>481.0</v>
      </c>
      <c r="B188" s="1" t="s">
        <v>109</v>
      </c>
      <c r="C188" s="1">
        <v>1.0</v>
      </c>
      <c r="D188" s="1" t="s">
        <v>1899</v>
      </c>
      <c r="E188" s="1" t="s">
        <v>785</v>
      </c>
      <c r="F188" s="1" t="s">
        <v>1858</v>
      </c>
      <c r="G188" s="1" t="s">
        <v>1902</v>
      </c>
      <c r="H188" s="1" t="s">
        <v>1902</v>
      </c>
      <c r="I188" s="1" t="s">
        <v>21</v>
      </c>
      <c r="J188" s="1" t="s">
        <v>1903</v>
      </c>
      <c r="K188" s="2">
        <v>-68.839691</v>
      </c>
      <c r="L188" s="2">
        <v>-32.892567</v>
      </c>
    </row>
    <row r="189">
      <c r="A189" s="1">
        <v>686.0</v>
      </c>
      <c r="B189" s="1" t="s">
        <v>36</v>
      </c>
      <c r="C189" s="1">
        <v>4.0</v>
      </c>
      <c r="D189" s="1" t="s">
        <v>1905</v>
      </c>
      <c r="E189" s="1" t="s">
        <v>785</v>
      </c>
      <c r="F189" s="1" t="s">
        <v>1858</v>
      </c>
      <c r="G189" s="1" t="s">
        <v>1906</v>
      </c>
      <c r="H189" s="1" t="s">
        <v>1906</v>
      </c>
      <c r="I189" s="1" t="s">
        <v>21</v>
      </c>
      <c r="J189" s="1" t="s">
        <v>1907</v>
      </c>
      <c r="K189" s="2">
        <v>-68.836345</v>
      </c>
      <c r="L189" s="2">
        <v>-32.880651</v>
      </c>
    </row>
    <row r="190">
      <c r="A190" s="1">
        <v>725.0</v>
      </c>
      <c r="B190" s="1" t="s">
        <v>36</v>
      </c>
      <c r="C190" s="1">
        <v>9.0</v>
      </c>
      <c r="D190" s="1" t="s">
        <v>1910</v>
      </c>
      <c r="E190" s="1" t="s">
        <v>785</v>
      </c>
      <c r="F190" s="1" t="s">
        <v>1858</v>
      </c>
      <c r="G190" s="1" t="s">
        <v>1912</v>
      </c>
      <c r="H190" s="1" t="s">
        <v>1912</v>
      </c>
      <c r="I190" s="1" t="s">
        <v>21</v>
      </c>
      <c r="J190" s="1" t="s">
        <v>1914</v>
      </c>
      <c r="K190" s="2">
        <v>-68.8359017</v>
      </c>
      <c r="L190" s="2">
        <v>-32.8761123</v>
      </c>
    </row>
    <row r="191">
      <c r="A191" s="1">
        <v>730.0</v>
      </c>
      <c r="B191" s="1" t="s">
        <v>36</v>
      </c>
      <c r="C191" s="1">
        <v>10.0</v>
      </c>
      <c r="D191" s="1" t="s">
        <v>1919</v>
      </c>
      <c r="E191" s="1" t="s">
        <v>785</v>
      </c>
      <c r="F191" s="1" t="s">
        <v>1858</v>
      </c>
      <c r="G191" s="1" t="s">
        <v>1921</v>
      </c>
      <c r="H191" s="1" t="s">
        <v>1921</v>
      </c>
      <c r="I191" s="1" t="s">
        <v>21</v>
      </c>
      <c r="J191" s="1" t="s">
        <v>1922</v>
      </c>
      <c r="K191" s="2">
        <v>-68.8363142</v>
      </c>
      <c r="L191" s="2">
        <v>-32.8778752</v>
      </c>
    </row>
    <row r="192">
      <c r="A192" s="1">
        <v>798.0</v>
      </c>
      <c r="B192" s="1" t="s">
        <v>55</v>
      </c>
      <c r="C192" s="1">
        <v>2.0</v>
      </c>
      <c r="D192" s="1" t="s">
        <v>1925</v>
      </c>
      <c r="E192" s="1" t="s">
        <v>785</v>
      </c>
      <c r="F192" s="1" t="s">
        <v>1858</v>
      </c>
      <c r="G192" s="1" t="s">
        <v>1926</v>
      </c>
      <c r="H192" s="1" t="s">
        <v>1926</v>
      </c>
      <c r="I192" s="1" t="s">
        <v>21</v>
      </c>
      <c r="J192" s="1" t="s">
        <v>1927</v>
      </c>
      <c r="K192" s="2">
        <v>-68.840425</v>
      </c>
      <c r="L192" s="2">
        <v>-32.885719</v>
      </c>
    </row>
    <row r="193">
      <c r="A193" s="1">
        <v>1049.0</v>
      </c>
      <c r="B193" s="1" t="s">
        <v>62</v>
      </c>
      <c r="C193" s="1">
        <v>11.0</v>
      </c>
      <c r="D193" s="1" t="s">
        <v>1930</v>
      </c>
      <c r="E193" s="1" t="s">
        <v>785</v>
      </c>
      <c r="F193" s="1" t="s">
        <v>1858</v>
      </c>
      <c r="G193" s="1" t="s">
        <v>1932</v>
      </c>
      <c r="H193" s="1" t="s">
        <v>1933</v>
      </c>
      <c r="I193" s="1" t="s">
        <v>21</v>
      </c>
      <c r="J193" s="1" t="s">
        <v>1935</v>
      </c>
      <c r="K193" s="2">
        <v>-68.8475539</v>
      </c>
      <c r="L193" s="2">
        <v>-32.893787</v>
      </c>
    </row>
    <row r="194">
      <c r="A194" s="1">
        <v>1117.0</v>
      </c>
      <c r="B194" s="1" t="s">
        <v>120</v>
      </c>
      <c r="C194" s="1">
        <v>1.0</v>
      </c>
      <c r="D194" s="1" t="s">
        <v>1938</v>
      </c>
      <c r="E194" s="1" t="s">
        <v>785</v>
      </c>
      <c r="F194" s="1" t="s">
        <v>1858</v>
      </c>
      <c r="G194" s="1" t="s">
        <v>1939</v>
      </c>
      <c r="H194" s="1" t="s">
        <v>1939</v>
      </c>
      <c r="I194" s="1" t="s">
        <v>21</v>
      </c>
      <c r="J194" s="1" t="s">
        <v>1940</v>
      </c>
      <c r="K194" s="2">
        <v>-68.8402263</v>
      </c>
      <c r="L194" s="2">
        <v>-32.8892344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>
        <v>137.0</v>
      </c>
      <c r="B2" s="1" t="s">
        <v>29</v>
      </c>
      <c r="C2" s="1" t="s">
        <v>1103</v>
      </c>
      <c r="D2" s="1" t="s">
        <v>1103</v>
      </c>
      <c r="E2" s="1" t="s">
        <v>1104</v>
      </c>
      <c r="F2" s="1" t="s">
        <v>1105</v>
      </c>
      <c r="G2" s="3" t="s">
        <v>1109</v>
      </c>
      <c r="H2" s="1" t="s">
        <v>1103</v>
      </c>
      <c r="I2" s="1" t="s">
        <v>21</v>
      </c>
      <c r="J2" s="1" t="s">
        <v>1111</v>
      </c>
      <c r="K2" s="2">
        <v>-68.8407639</v>
      </c>
      <c r="L2" s="2">
        <v>-32.889994</v>
      </c>
    </row>
    <row r="3">
      <c r="A3" s="1">
        <v>193.0</v>
      </c>
      <c r="B3" s="1" t="s">
        <v>29</v>
      </c>
      <c r="C3" s="1" t="s">
        <v>1103</v>
      </c>
      <c r="D3" s="1" t="s">
        <v>1103</v>
      </c>
      <c r="E3" s="1" t="s">
        <v>1104</v>
      </c>
      <c r="F3" s="1" t="s">
        <v>1105</v>
      </c>
      <c r="G3" s="3" t="s">
        <v>1116</v>
      </c>
      <c r="H3" s="1" t="s">
        <v>1103</v>
      </c>
      <c r="I3" s="1" t="s">
        <v>21</v>
      </c>
      <c r="J3" s="1" t="s">
        <v>1118</v>
      </c>
      <c r="K3" s="2">
        <v>-68.840718</v>
      </c>
      <c r="L3" s="2">
        <v>-32.891174</v>
      </c>
    </row>
    <row r="4">
      <c r="A4" s="1">
        <v>478.0</v>
      </c>
      <c r="B4" s="1" t="s">
        <v>24</v>
      </c>
      <c r="C4" s="1">
        <v>14.0</v>
      </c>
      <c r="D4" s="1" t="s">
        <v>973</v>
      </c>
      <c r="E4" s="1" t="s">
        <v>1104</v>
      </c>
      <c r="F4" s="1" t="s">
        <v>1105</v>
      </c>
      <c r="G4" s="1" t="s">
        <v>1122</v>
      </c>
      <c r="H4" s="1" t="s">
        <v>974</v>
      </c>
      <c r="I4" s="1" t="s">
        <v>21</v>
      </c>
      <c r="J4" s="1" t="s">
        <v>1123</v>
      </c>
      <c r="K4" s="2">
        <v>-68.8520097</v>
      </c>
      <c r="L4" s="2">
        <v>-32.8929832</v>
      </c>
    </row>
    <row r="5">
      <c r="A5" s="1">
        <v>497.0</v>
      </c>
      <c r="B5" s="1" t="s">
        <v>109</v>
      </c>
      <c r="C5" s="1">
        <v>6.0</v>
      </c>
      <c r="D5" s="1" t="s">
        <v>1126</v>
      </c>
      <c r="E5" s="1" t="s">
        <v>1104</v>
      </c>
      <c r="F5" s="1" t="s">
        <v>1105</v>
      </c>
      <c r="G5" s="1" t="s">
        <v>1127</v>
      </c>
      <c r="H5" s="1" t="s">
        <v>1129</v>
      </c>
      <c r="I5" s="1" t="s">
        <v>21</v>
      </c>
      <c r="J5" s="1" t="s">
        <v>1131</v>
      </c>
      <c r="K5" s="2">
        <v>-68.8389818</v>
      </c>
      <c r="L5" s="2">
        <v>-32.8897312</v>
      </c>
    </row>
    <row r="6">
      <c r="A6" s="1">
        <v>519.0</v>
      </c>
      <c r="B6" s="1" t="s">
        <v>109</v>
      </c>
      <c r="C6" s="1">
        <v>3.0</v>
      </c>
      <c r="D6" s="1" t="s">
        <v>468</v>
      </c>
      <c r="E6" s="1" t="s">
        <v>1104</v>
      </c>
      <c r="F6" s="1" t="s">
        <v>1105</v>
      </c>
      <c r="G6" s="1" t="s">
        <v>1135</v>
      </c>
      <c r="H6" s="1" t="s">
        <v>469</v>
      </c>
      <c r="I6" s="1" t="s">
        <v>21</v>
      </c>
      <c r="J6" s="1" t="s">
        <v>1137</v>
      </c>
      <c r="K6" s="2">
        <v>-68.838612</v>
      </c>
      <c r="L6" s="2">
        <v>-32.88827690000001</v>
      </c>
    </row>
    <row r="7">
      <c r="A7" s="1">
        <v>553.0</v>
      </c>
      <c r="B7" s="1" t="s">
        <v>109</v>
      </c>
      <c r="C7" s="1">
        <v>0.0</v>
      </c>
      <c r="D7" s="1" t="s">
        <v>1140</v>
      </c>
      <c r="E7" s="1" t="s">
        <v>1104</v>
      </c>
      <c r="F7" s="1" t="s">
        <v>1105</v>
      </c>
      <c r="G7" s="1" t="s">
        <v>1142</v>
      </c>
      <c r="H7" s="1">
        <v>0.0</v>
      </c>
      <c r="I7" s="1" t="s">
        <v>21</v>
      </c>
      <c r="J7" s="1" t="s">
        <v>1144</v>
      </c>
      <c r="K7" s="2">
        <v>-68.8379181</v>
      </c>
      <c r="L7" s="2">
        <v>-32.88547399999999</v>
      </c>
    </row>
    <row r="8">
      <c r="A8" s="1">
        <v>564.0</v>
      </c>
      <c r="B8" s="1" t="s">
        <v>109</v>
      </c>
      <c r="C8" s="1">
        <v>1.0</v>
      </c>
      <c r="D8" s="1">
        <v>0.0</v>
      </c>
      <c r="E8" s="1" t="s">
        <v>1104</v>
      </c>
      <c r="F8" s="1" t="s">
        <v>1105</v>
      </c>
      <c r="G8" s="1" t="s">
        <v>1147</v>
      </c>
      <c r="H8" s="1" t="s">
        <v>1149</v>
      </c>
      <c r="I8" s="1" t="s">
        <v>21</v>
      </c>
      <c r="J8" s="1" t="s">
        <v>1150</v>
      </c>
      <c r="K8" s="2">
        <v>-68.8380708</v>
      </c>
      <c r="L8" s="2">
        <v>-32.8846769</v>
      </c>
    </row>
    <row r="9">
      <c r="A9" s="1">
        <v>658.0</v>
      </c>
      <c r="B9" s="1" t="s">
        <v>36</v>
      </c>
      <c r="C9" s="1">
        <v>11.0</v>
      </c>
      <c r="D9" s="1" t="s">
        <v>1152</v>
      </c>
      <c r="E9" s="1" t="s">
        <v>1104</v>
      </c>
      <c r="F9" s="1" t="s">
        <v>1105</v>
      </c>
      <c r="G9" s="1" t="s">
        <v>1154</v>
      </c>
      <c r="H9" s="1" t="s">
        <v>1156</v>
      </c>
      <c r="I9" s="1" t="s">
        <v>21</v>
      </c>
      <c r="J9" s="1" t="s">
        <v>1158</v>
      </c>
      <c r="K9" s="2">
        <v>-68.837535</v>
      </c>
      <c r="L9" s="2">
        <v>-32.884487</v>
      </c>
    </row>
    <row r="10">
      <c r="A10" s="1">
        <v>806.0</v>
      </c>
      <c r="B10" s="1" t="s">
        <v>55</v>
      </c>
      <c r="C10" s="1">
        <v>8.0</v>
      </c>
      <c r="D10" s="1" t="s">
        <v>1159</v>
      </c>
      <c r="E10" s="1" t="s">
        <v>1104</v>
      </c>
      <c r="F10" s="1" t="s">
        <v>1105</v>
      </c>
      <c r="G10" s="1" t="s">
        <v>1160</v>
      </c>
      <c r="H10" s="3" t="s">
        <v>1161</v>
      </c>
      <c r="I10" s="1" t="s">
        <v>21</v>
      </c>
      <c r="J10" s="1" t="s">
        <v>1162</v>
      </c>
      <c r="K10" s="2">
        <v>-68.83985790000001</v>
      </c>
      <c r="L10" s="2">
        <v>-32.885776</v>
      </c>
    </row>
    <row r="11">
      <c r="A11" s="1">
        <v>824.0</v>
      </c>
      <c r="B11" s="1" t="s">
        <v>55</v>
      </c>
      <c r="C11" s="1">
        <v>11.0</v>
      </c>
      <c r="D11" s="1" t="s">
        <v>1163</v>
      </c>
      <c r="E11" s="1" t="s">
        <v>1104</v>
      </c>
      <c r="F11" s="1" t="s">
        <v>1105</v>
      </c>
      <c r="G11" s="1" t="s">
        <v>1164</v>
      </c>
      <c r="H11" s="3" t="s">
        <v>1165</v>
      </c>
      <c r="I11" s="1" t="s">
        <v>21</v>
      </c>
      <c r="J11" s="1" t="s">
        <v>1167</v>
      </c>
      <c r="K11" s="2">
        <v>-68.84161000000002</v>
      </c>
      <c r="L11" s="2">
        <v>-32.885493</v>
      </c>
    </row>
    <row r="12">
      <c r="A12" s="1">
        <v>825.0</v>
      </c>
      <c r="B12" s="1" t="s">
        <v>55</v>
      </c>
      <c r="C12" s="1">
        <v>11.0</v>
      </c>
      <c r="D12" s="1" t="s">
        <v>1170</v>
      </c>
      <c r="E12" s="1" t="s">
        <v>1104</v>
      </c>
      <c r="F12" s="1" t="s">
        <v>1105</v>
      </c>
      <c r="G12" s="1" t="s">
        <v>1164</v>
      </c>
      <c r="H12" s="3" t="s">
        <v>1172</v>
      </c>
      <c r="I12" s="1" t="s">
        <v>21</v>
      </c>
      <c r="J12" s="1" t="s">
        <v>1167</v>
      </c>
      <c r="K12" s="2">
        <v>-68.84161000000002</v>
      </c>
      <c r="L12" s="2">
        <v>-32.885493</v>
      </c>
    </row>
    <row r="13">
      <c r="A13" s="1">
        <v>889.0</v>
      </c>
      <c r="B13" s="1" t="s">
        <v>55</v>
      </c>
      <c r="C13" s="1">
        <v>6.0</v>
      </c>
      <c r="D13" s="1" t="s">
        <v>1176</v>
      </c>
      <c r="E13" s="1" t="s">
        <v>1104</v>
      </c>
      <c r="F13" s="1" t="s">
        <v>1105</v>
      </c>
      <c r="G13" s="1" t="s">
        <v>1178</v>
      </c>
      <c r="H13" s="1" t="s">
        <v>1180</v>
      </c>
      <c r="I13" s="1" t="s">
        <v>21</v>
      </c>
      <c r="J13" s="1" t="s">
        <v>1181</v>
      </c>
      <c r="K13" s="2">
        <v>-68.84509899999999</v>
      </c>
      <c r="L13" s="2">
        <v>-32.885349</v>
      </c>
    </row>
    <row r="14">
      <c r="A14" s="1">
        <v>951.0</v>
      </c>
      <c r="B14" s="1" t="s">
        <v>55</v>
      </c>
      <c r="C14" s="1">
        <v>6.0</v>
      </c>
      <c r="D14" s="1" t="s">
        <v>956</v>
      </c>
      <c r="E14" s="1" t="s">
        <v>1104</v>
      </c>
      <c r="F14" s="1" t="s">
        <v>1105</v>
      </c>
      <c r="G14" s="1" t="s">
        <v>1184</v>
      </c>
      <c r="H14" s="1" t="s">
        <v>957</v>
      </c>
      <c r="I14" s="1" t="s">
        <v>21</v>
      </c>
      <c r="J14" s="1" t="s">
        <v>1186</v>
      </c>
      <c r="K14" s="2">
        <v>-68.83883</v>
      </c>
      <c r="L14" s="2">
        <v>-32.886369</v>
      </c>
    </row>
    <row r="15">
      <c r="A15" s="1">
        <v>975.0</v>
      </c>
      <c r="B15" s="1" t="s">
        <v>62</v>
      </c>
      <c r="C15" s="1">
        <v>1.0</v>
      </c>
      <c r="D15" s="1" t="s">
        <v>1188</v>
      </c>
      <c r="E15" s="1" t="s">
        <v>1104</v>
      </c>
      <c r="F15" s="1" t="s">
        <v>1105</v>
      </c>
      <c r="G15" s="1" t="s">
        <v>1190</v>
      </c>
      <c r="H15" s="1" t="s">
        <v>1191</v>
      </c>
      <c r="I15" s="1" t="s">
        <v>21</v>
      </c>
      <c r="J15" s="1" t="s">
        <v>1193</v>
      </c>
      <c r="K15" s="2">
        <v>-68.8427074</v>
      </c>
      <c r="L15" s="2">
        <v>-32.8943449</v>
      </c>
    </row>
    <row r="16">
      <c r="A16" s="1">
        <v>1169.0</v>
      </c>
      <c r="B16" s="1" t="s">
        <v>120</v>
      </c>
      <c r="C16" s="1" t="s">
        <v>1103</v>
      </c>
      <c r="D16" s="1" t="s">
        <v>1103</v>
      </c>
      <c r="E16" s="1" t="s">
        <v>1104</v>
      </c>
      <c r="F16" s="1" t="s">
        <v>1105</v>
      </c>
      <c r="G16" s="1" t="s">
        <v>1196</v>
      </c>
      <c r="H16" s="1" t="s">
        <v>1103</v>
      </c>
      <c r="I16" s="1" t="s">
        <v>21</v>
      </c>
      <c r="J16" s="1" t="s">
        <v>1198</v>
      </c>
      <c r="K16" s="2">
        <v>-68.8401229</v>
      </c>
      <c r="L16" s="2">
        <v>-32.889446</v>
      </c>
    </row>
    <row r="17">
      <c r="A17" s="1">
        <v>1194.0</v>
      </c>
      <c r="B17" s="1" t="s">
        <v>227</v>
      </c>
      <c r="C17" s="1" t="s">
        <v>1103</v>
      </c>
      <c r="D17" s="1" t="s">
        <v>1103</v>
      </c>
      <c r="E17" s="1" t="s">
        <v>1104</v>
      </c>
      <c r="F17" s="1" t="s">
        <v>1105</v>
      </c>
      <c r="G17" s="1" t="s">
        <v>1201</v>
      </c>
      <c r="H17" s="1" t="s">
        <v>1103</v>
      </c>
      <c r="I17" s="1" t="s">
        <v>21</v>
      </c>
      <c r="J17" s="1" t="s">
        <v>1203</v>
      </c>
      <c r="K17" s="2">
        <v>-68.828534</v>
      </c>
      <c r="L17" s="2">
        <v>-32.8891571</v>
      </c>
    </row>
    <row r="18">
      <c r="A18" s="1">
        <v>1302.0</v>
      </c>
      <c r="B18" s="1" t="s">
        <v>248</v>
      </c>
      <c r="C18" s="1" t="s">
        <v>1103</v>
      </c>
      <c r="D18" s="1" t="s">
        <v>1103</v>
      </c>
      <c r="E18" s="1" t="s">
        <v>1104</v>
      </c>
      <c r="F18" s="1" t="s">
        <v>1105</v>
      </c>
      <c r="G18" s="1" t="s">
        <v>1207</v>
      </c>
      <c r="H18" s="1" t="s">
        <v>1103</v>
      </c>
      <c r="I18" s="1" t="s">
        <v>21</v>
      </c>
      <c r="J18" s="1" t="s">
        <v>1209</v>
      </c>
      <c r="K18" s="2">
        <v>-68.84222609999999</v>
      </c>
      <c r="L18" s="2">
        <v>-32.8916352</v>
      </c>
    </row>
    <row r="19">
      <c r="A19" s="1">
        <v>1425.0</v>
      </c>
      <c r="D19" s="1" t="s">
        <v>1211</v>
      </c>
      <c r="E19" s="1" t="s">
        <v>1104</v>
      </c>
      <c r="F19" s="1" t="s">
        <v>1105</v>
      </c>
      <c r="G19" s="1" t="s">
        <v>1213</v>
      </c>
      <c r="I19" s="1" t="s">
        <v>21</v>
      </c>
      <c r="J19" s="1" t="s">
        <v>1216</v>
      </c>
      <c r="K19" s="2">
        <v>-68.8389463</v>
      </c>
      <c r="L19" s="2">
        <v>-32.8899569</v>
      </c>
    </row>
    <row r="20">
      <c r="A20" s="1">
        <v>1426.0</v>
      </c>
      <c r="D20" s="1" t="s">
        <v>1218</v>
      </c>
      <c r="E20" s="1" t="s">
        <v>1104</v>
      </c>
      <c r="F20" s="1" t="s">
        <v>1105</v>
      </c>
      <c r="G20" s="1" t="s">
        <v>1219</v>
      </c>
      <c r="I20" s="1" t="s">
        <v>21</v>
      </c>
      <c r="J20" s="1" t="s">
        <v>1220</v>
      </c>
      <c r="K20" s="2">
        <v>-68.8389463</v>
      </c>
      <c r="L20" s="2">
        <v>-32.8899569</v>
      </c>
    </row>
    <row r="21">
      <c r="A21" s="1">
        <v>1428.0</v>
      </c>
      <c r="D21" s="1" t="s">
        <v>1223</v>
      </c>
      <c r="E21" s="1" t="s">
        <v>1104</v>
      </c>
      <c r="F21" s="1" t="s">
        <v>1105</v>
      </c>
      <c r="G21" s="1" t="s">
        <v>1224</v>
      </c>
      <c r="I21" s="1" t="s">
        <v>21</v>
      </c>
      <c r="J21" s="1" t="s">
        <v>1226</v>
      </c>
      <c r="K21" s="2">
        <v>-68.8391923</v>
      </c>
      <c r="L21" s="2">
        <v>-32.8906772</v>
      </c>
    </row>
    <row r="22">
      <c r="A22" s="1">
        <v>1437.0</v>
      </c>
      <c r="D22" s="1" t="s">
        <v>1229</v>
      </c>
      <c r="E22" s="1" t="s">
        <v>1104</v>
      </c>
      <c r="F22" s="1" t="s">
        <v>1105</v>
      </c>
      <c r="G22" s="1" t="s">
        <v>1230</v>
      </c>
      <c r="I22" s="1" t="s">
        <v>21</v>
      </c>
      <c r="J22" s="1" t="s">
        <v>1231</v>
      </c>
      <c r="K22" s="2">
        <v>-68.8389463</v>
      </c>
      <c r="L22" s="2">
        <v>-32.8899569</v>
      </c>
    </row>
    <row r="23">
      <c r="A23" s="1">
        <v>1479.0</v>
      </c>
      <c r="D23" s="1" t="s">
        <v>1234</v>
      </c>
      <c r="E23" s="1" t="s">
        <v>1104</v>
      </c>
      <c r="F23" s="1" t="s">
        <v>1105</v>
      </c>
      <c r="G23" s="1" t="s">
        <v>1236</v>
      </c>
      <c r="I23" s="1" t="s">
        <v>21</v>
      </c>
      <c r="J23" s="1" t="s">
        <v>1237</v>
      </c>
      <c r="K23" s="2">
        <v>-68.838724</v>
      </c>
      <c r="L23" s="2">
        <v>-32.889123</v>
      </c>
    </row>
    <row r="24">
      <c r="A24" s="1">
        <v>1484.0</v>
      </c>
      <c r="D24" s="1" t="s">
        <v>1241</v>
      </c>
      <c r="E24" s="1" t="s">
        <v>1104</v>
      </c>
      <c r="F24" s="1" t="s">
        <v>1105</v>
      </c>
      <c r="G24" s="1" t="s">
        <v>1243</v>
      </c>
      <c r="I24" s="1" t="s">
        <v>21</v>
      </c>
      <c r="J24" s="1" t="s">
        <v>1244</v>
      </c>
      <c r="K24" s="2">
        <v>-68.8388506</v>
      </c>
      <c r="L24" s="2">
        <v>-32.8891022</v>
      </c>
    </row>
    <row r="25">
      <c r="A25" s="1">
        <v>1490.0</v>
      </c>
      <c r="D25" s="1" t="s">
        <v>1247</v>
      </c>
      <c r="E25" s="1" t="s">
        <v>1104</v>
      </c>
      <c r="F25" s="1" t="s">
        <v>1105</v>
      </c>
      <c r="G25" s="1" t="s">
        <v>1248</v>
      </c>
      <c r="I25" s="1" t="s">
        <v>21</v>
      </c>
      <c r="J25" s="1" t="s">
        <v>1249</v>
      </c>
      <c r="K25" s="2">
        <v>-68.838724</v>
      </c>
      <c r="L25" s="2">
        <v>-32.889123</v>
      </c>
    </row>
    <row r="26">
      <c r="A26" s="1">
        <v>1494.0</v>
      </c>
      <c r="D26" s="1" t="s">
        <v>1253</v>
      </c>
      <c r="E26" s="1" t="s">
        <v>1104</v>
      </c>
      <c r="F26" s="1" t="s">
        <v>1105</v>
      </c>
      <c r="G26" s="1" t="s">
        <v>1254</v>
      </c>
      <c r="I26" s="1" t="s">
        <v>21</v>
      </c>
      <c r="J26" s="1" t="s">
        <v>1255</v>
      </c>
      <c r="K26" s="2">
        <v>-68.838724</v>
      </c>
      <c r="L26" s="2">
        <v>-32.889123</v>
      </c>
    </row>
    <row r="27">
      <c r="A27" s="1">
        <v>1495.0</v>
      </c>
      <c r="D27" s="1" t="s">
        <v>1257</v>
      </c>
      <c r="E27" s="1" t="s">
        <v>1104</v>
      </c>
      <c r="F27" s="1" t="s">
        <v>1105</v>
      </c>
      <c r="G27" s="1" t="s">
        <v>1261</v>
      </c>
      <c r="I27" s="1" t="s">
        <v>21</v>
      </c>
      <c r="J27" s="1" t="s">
        <v>1262</v>
      </c>
      <c r="K27" s="2">
        <v>-68.838724</v>
      </c>
      <c r="L27" s="2">
        <v>-32.889123</v>
      </c>
    </row>
    <row r="28">
      <c r="A28" s="1">
        <v>1497.0</v>
      </c>
      <c r="D28" s="1" t="s">
        <v>1264</v>
      </c>
      <c r="E28" s="1" t="s">
        <v>1104</v>
      </c>
      <c r="F28" s="1" t="s">
        <v>1105</v>
      </c>
      <c r="G28" s="1" t="s">
        <v>1266</v>
      </c>
      <c r="I28" s="1" t="s">
        <v>21</v>
      </c>
      <c r="J28" s="1" t="s">
        <v>1268</v>
      </c>
      <c r="K28" s="2">
        <v>-68.8388506</v>
      </c>
      <c r="L28" s="2">
        <v>-32.8891022</v>
      </c>
    </row>
    <row r="29">
      <c r="A29" s="1">
        <v>1512.0</v>
      </c>
      <c r="D29" s="1" t="s">
        <v>1270</v>
      </c>
      <c r="E29" s="1" t="s">
        <v>1104</v>
      </c>
      <c r="F29" s="1" t="s">
        <v>1105</v>
      </c>
      <c r="G29" s="1" t="s">
        <v>1271</v>
      </c>
      <c r="I29" s="1" t="s">
        <v>21</v>
      </c>
      <c r="J29" s="1" t="s">
        <v>1272</v>
      </c>
      <c r="K29" s="2">
        <v>-68.83733939999999</v>
      </c>
      <c r="L29" s="2">
        <v>-32.8873171</v>
      </c>
    </row>
    <row r="30">
      <c r="A30" s="1">
        <v>1538.0</v>
      </c>
      <c r="D30" s="1" t="s">
        <v>1273</v>
      </c>
      <c r="E30" s="1" t="s">
        <v>1104</v>
      </c>
      <c r="F30" s="1" t="s">
        <v>1105</v>
      </c>
      <c r="G30" s="1" t="s">
        <v>1274</v>
      </c>
      <c r="I30" s="1" t="s">
        <v>21</v>
      </c>
      <c r="J30" s="1" t="s">
        <v>1276</v>
      </c>
      <c r="K30" s="2">
        <v>-68.8378727</v>
      </c>
      <c r="L30" s="2">
        <v>-32.8874281</v>
      </c>
    </row>
    <row r="31">
      <c r="A31" s="1">
        <v>1547.0</v>
      </c>
      <c r="D31" s="1" t="s">
        <v>1277</v>
      </c>
      <c r="E31" s="1" t="s">
        <v>1104</v>
      </c>
      <c r="F31" s="1" t="s">
        <v>1105</v>
      </c>
      <c r="G31" s="1" t="s">
        <v>1279</v>
      </c>
      <c r="I31" s="1" t="s">
        <v>21</v>
      </c>
      <c r="J31" s="1" t="s">
        <v>1281</v>
      </c>
      <c r="K31" s="2">
        <v>-68.8577583</v>
      </c>
      <c r="L31" s="2">
        <v>-32.95662060000001</v>
      </c>
    </row>
    <row r="32">
      <c r="A32" s="1">
        <v>1602.0</v>
      </c>
      <c r="D32" s="1" t="s">
        <v>1284</v>
      </c>
      <c r="E32" s="1" t="s">
        <v>1104</v>
      </c>
      <c r="F32" s="1" t="s">
        <v>1105</v>
      </c>
      <c r="G32" s="1" t="s">
        <v>1285</v>
      </c>
      <c r="I32" s="1" t="s">
        <v>21</v>
      </c>
      <c r="J32" s="1" t="s">
        <v>1287</v>
      </c>
      <c r="K32" s="2">
        <v>-68.8393766</v>
      </c>
      <c r="L32" s="2">
        <v>-32.8902062</v>
      </c>
    </row>
    <row r="33">
      <c r="A33" s="1">
        <v>1603.0</v>
      </c>
      <c r="D33" s="1" t="s">
        <v>1290</v>
      </c>
      <c r="E33" s="1" t="s">
        <v>1104</v>
      </c>
      <c r="F33" s="1" t="s">
        <v>1105</v>
      </c>
      <c r="G33" s="1" t="s">
        <v>1292</v>
      </c>
      <c r="I33" s="1" t="s">
        <v>21</v>
      </c>
      <c r="J33" s="1" t="s">
        <v>1293</v>
      </c>
      <c r="K33" s="2">
        <v>-68.846846</v>
      </c>
      <c r="L33" s="2">
        <v>-32.888989</v>
      </c>
    </row>
    <row r="34">
      <c r="A34" s="1">
        <v>1605.0</v>
      </c>
      <c r="D34" s="1" t="s">
        <v>1296</v>
      </c>
      <c r="E34" s="1" t="s">
        <v>1104</v>
      </c>
      <c r="F34" s="1" t="s">
        <v>1105</v>
      </c>
      <c r="G34" s="1" t="s">
        <v>1297</v>
      </c>
      <c r="I34" s="1" t="s">
        <v>21</v>
      </c>
      <c r="J34" s="1" t="s">
        <v>1298</v>
      </c>
      <c r="K34" s="2">
        <v>-68.8395215</v>
      </c>
      <c r="L34" s="2">
        <v>-32.8901412</v>
      </c>
    </row>
    <row r="35">
      <c r="A35" s="1">
        <v>177.0</v>
      </c>
      <c r="B35" s="1" t="s">
        <v>29</v>
      </c>
      <c r="C35" s="1" t="s">
        <v>1103</v>
      </c>
      <c r="D35" s="1" t="s">
        <v>1300</v>
      </c>
      <c r="E35" s="1" t="s">
        <v>1104</v>
      </c>
      <c r="F35" s="1" t="s">
        <v>1301</v>
      </c>
      <c r="G35" s="3" t="s">
        <v>1303</v>
      </c>
      <c r="H35" s="1" t="s">
        <v>1103</v>
      </c>
      <c r="I35" s="1" t="s">
        <v>21</v>
      </c>
      <c r="J35" s="1" t="s">
        <v>1305</v>
      </c>
      <c r="K35" s="2">
        <v>-68.8410359</v>
      </c>
      <c r="L35" s="2">
        <v>-32.8923661</v>
      </c>
    </row>
    <row r="36">
      <c r="A36" s="1">
        <v>143.0</v>
      </c>
      <c r="B36" s="1" t="s">
        <v>29</v>
      </c>
      <c r="C36" s="1" t="s">
        <v>1103</v>
      </c>
      <c r="D36" s="1" t="s">
        <v>1103</v>
      </c>
      <c r="E36" s="1" t="s">
        <v>1104</v>
      </c>
      <c r="F36" s="1" t="s">
        <v>1309</v>
      </c>
      <c r="G36" s="3" t="s">
        <v>1312</v>
      </c>
      <c r="H36" s="1" t="s">
        <v>1103</v>
      </c>
      <c r="I36" s="1" t="s">
        <v>21</v>
      </c>
      <c r="J36" s="1" t="s">
        <v>1313</v>
      </c>
      <c r="K36" s="2">
        <v>-68.840861</v>
      </c>
      <c r="L36" s="2">
        <v>-32.8906967</v>
      </c>
    </row>
    <row r="37">
      <c r="A37" s="1">
        <v>159.0</v>
      </c>
      <c r="B37" s="1" t="s">
        <v>29</v>
      </c>
      <c r="C37" s="1" t="s">
        <v>1103</v>
      </c>
      <c r="D37" s="1" t="s">
        <v>1317</v>
      </c>
      <c r="E37" s="1" t="s">
        <v>1104</v>
      </c>
      <c r="F37" s="1" t="s">
        <v>1309</v>
      </c>
      <c r="G37" s="3" t="s">
        <v>1319</v>
      </c>
      <c r="H37" s="1" t="s">
        <v>1103</v>
      </c>
      <c r="I37" s="1" t="s">
        <v>21</v>
      </c>
      <c r="J37" s="1" t="s">
        <v>1322</v>
      </c>
      <c r="K37" s="2">
        <v>-68.841042</v>
      </c>
      <c r="L37" s="2">
        <v>-32.891211</v>
      </c>
    </row>
    <row r="38">
      <c r="A38" s="1">
        <v>170.0</v>
      </c>
      <c r="B38" s="1" t="s">
        <v>29</v>
      </c>
      <c r="C38" s="1" t="s">
        <v>1103</v>
      </c>
      <c r="D38" s="1" t="s">
        <v>1325</v>
      </c>
      <c r="E38" s="1" t="s">
        <v>1104</v>
      </c>
      <c r="F38" s="1" t="s">
        <v>1309</v>
      </c>
      <c r="G38" s="3" t="s">
        <v>1330</v>
      </c>
      <c r="H38" s="1" t="s">
        <v>1103</v>
      </c>
      <c r="I38" s="1" t="s">
        <v>21</v>
      </c>
      <c r="J38" s="1" t="s">
        <v>1332</v>
      </c>
      <c r="K38" s="2">
        <v>-68.84129</v>
      </c>
      <c r="L38" s="2">
        <v>-32.8921343</v>
      </c>
    </row>
    <row r="39">
      <c r="A39" s="1">
        <v>205.0</v>
      </c>
      <c r="B39" s="1" t="s">
        <v>29</v>
      </c>
      <c r="C39" s="1" t="s">
        <v>1103</v>
      </c>
      <c r="D39" s="1" t="s">
        <v>1103</v>
      </c>
      <c r="E39" s="1" t="s">
        <v>1104</v>
      </c>
      <c r="F39" s="1" t="s">
        <v>1309</v>
      </c>
      <c r="G39" s="3" t="s">
        <v>1336</v>
      </c>
      <c r="H39" s="1" t="s">
        <v>1103</v>
      </c>
      <c r="I39" s="1" t="s">
        <v>21</v>
      </c>
      <c r="J39" s="1" t="s">
        <v>1338</v>
      </c>
      <c r="K39" s="2">
        <v>-68.840633</v>
      </c>
      <c r="L39" s="2">
        <v>-32.890654</v>
      </c>
    </row>
    <row r="40">
      <c r="A40" s="1">
        <v>219.0</v>
      </c>
      <c r="B40" s="1" t="s">
        <v>29</v>
      </c>
      <c r="C40" s="1" t="s">
        <v>1103</v>
      </c>
      <c r="D40" s="1" t="s">
        <v>1103</v>
      </c>
      <c r="E40" s="1" t="s">
        <v>1104</v>
      </c>
      <c r="F40" s="1" t="s">
        <v>1309</v>
      </c>
      <c r="G40" s="3" t="s">
        <v>1340</v>
      </c>
      <c r="H40" s="1" t="s">
        <v>1103</v>
      </c>
      <c r="I40" s="1" t="s">
        <v>21</v>
      </c>
      <c r="J40" s="1" t="s">
        <v>1341</v>
      </c>
      <c r="K40" s="2">
        <v>-68.840317</v>
      </c>
      <c r="L40" s="2">
        <v>-32.889669</v>
      </c>
    </row>
    <row r="41">
      <c r="A41" s="1">
        <v>221.0</v>
      </c>
      <c r="B41" s="1" t="s">
        <v>29</v>
      </c>
      <c r="C41" s="1" t="s">
        <v>1103</v>
      </c>
      <c r="D41" s="1" t="s">
        <v>1103</v>
      </c>
      <c r="E41" s="1" t="s">
        <v>1104</v>
      </c>
      <c r="F41" s="1" t="s">
        <v>1309</v>
      </c>
      <c r="G41" s="3" t="s">
        <v>1342</v>
      </c>
      <c r="H41" s="1" t="s">
        <v>1103</v>
      </c>
      <c r="I41" s="1" t="s">
        <v>21</v>
      </c>
      <c r="J41" s="1" t="s">
        <v>1343</v>
      </c>
      <c r="K41" s="2">
        <v>-68.84031639999999</v>
      </c>
      <c r="L41" s="2">
        <v>-32.8896092</v>
      </c>
    </row>
    <row r="42">
      <c r="A42" s="1">
        <v>235.0</v>
      </c>
      <c r="B42" s="1" t="s">
        <v>29</v>
      </c>
      <c r="C42" s="1" t="s">
        <v>1103</v>
      </c>
      <c r="D42" s="1" t="s">
        <v>1103</v>
      </c>
      <c r="E42" s="1" t="s">
        <v>1104</v>
      </c>
      <c r="F42" s="1" t="s">
        <v>1309</v>
      </c>
      <c r="G42" s="3" t="s">
        <v>1344</v>
      </c>
      <c r="H42" s="1" t="s">
        <v>1103</v>
      </c>
      <c r="I42" s="1" t="s">
        <v>21</v>
      </c>
      <c r="J42" s="1" t="s">
        <v>1345</v>
      </c>
      <c r="K42" s="2">
        <v>-68.839392</v>
      </c>
      <c r="L42" s="2">
        <v>-32.8865539</v>
      </c>
    </row>
    <row r="43">
      <c r="A43" s="1">
        <v>269.0</v>
      </c>
      <c r="B43" s="1" t="s">
        <v>51</v>
      </c>
      <c r="C43" s="1" t="s">
        <v>1103</v>
      </c>
      <c r="D43" s="1" t="s">
        <v>1103</v>
      </c>
      <c r="E43" s="1" t="s">
        <v>1104</v>
      </c>
      <c r="F43" s="1" t="s">
        <v>1309</v>
      </c>
      <c r="G43" s="1" t="s">
        <v>1346</v>
      </c>
      <c r="H43" s="1" t="s">
        <v>1103</v>
      </c>
      <c r="I43" s="1" t="s">
        <v>21</v>
      </c>
      <c r="J43" s="1" t="s">
        <v>1347</v>
      </c>
      <c r="K43" s="2">
        <v>-68.84000449999999</v>
      </c>
      <c r="L43" s="2">
        <v>-32.890499</v>
      </c>
    </row>
    <row r="44">
      <c r="A44" s="1">
        <v>284.0</v>
      </c>
      <c r="B44" s="1" t="s">
        <v>51</v>
      </c>
      <c r="C44" s="1" t="s">
        <v>1103</v>
      </c>
      <c r="D44" s="1" t="s">
        <v>1103</v>
      </c>
      <c r="E44" s="1" t="s">
        <v>1104</v>
      </c>
      <c r="F44" s="1" t="s">
        <v>1309</v>
      </c>
      <c r="G44" s="1" t="s">
        <v>1352</v>
      </c>
      <c r="H44" s="1" t="s">
        <v>1103</v>
      </c>
      <c r="I44" s="1" t="s">
        <v>21</v>
      </c>
      <c r="J44" s="1" t="s">
        <v>1353</v>
      </c>
      <c r="K44" s="2">
        <v>-68.84000449999999</v>
      </c>
      <c r="L44" s="2">
        <v>-32.890499</v>
      </c>
    </row>
    <row r="45">
      <c r="A45" s="1">
        <v>371.0</v>
      </c>
      <c r="B45" s="1" t="s">
        <v>24</v>
      </c>
      <c r="C45" s="1">
        <v>13.0</v>
      </c>
      <c r="D45" s="1" t="s">
        <v>246</v>
      </c>
      <c r="E45" s="1" t="s">
        <v>1104</v>
      </c>
      <c r="F45" s="1" t="s">
        <v>1309</v>
      </c>
      <c r="G45" s="1" t="s">
        <v>597</v>
      </c>
      <c r="H45" s="1" t="s">
        <v>333</v>
      </c>
      <c r="I45" s="1" t="s">
        <v>21</v>
      </c>
      <c r="J45" s="1" t="s">
        <v>599</v>
      </c>
      <c r="K45" s="2">
        <v>-68.8526787</v>
      </c>
      <c r="L45" s="2">
        <v>-32.8925772</v>
      </c>
    </row>
    <row r="46">
      <c r="A46" s="1">
        <v>399.0</v>
      </c>
      <c r="B46" s="1" t="s">
        <v>24</v>
      </c>
      <c r="C46" s="1">
        <v>0.0</v>
      </c>
      <c r="D46" s="1">
        <v>0.0</v>
      </c>
      <c r="E46" s="1" t="s">
        <v>1104</v>
      </c>
      <c r="F46" s="1" t="s">
        <v>1309</v>
      </c>
      <c r="G46" s="1" t="s">
        <v>1360</v>
      </c>
      <c r="H46" s="1">
        <v>0.0</v>
      </c>
      <c r="I46" s="1" t="s">
        <v>21</v>
      </c>
      <c r="J46" s="1" t="s">
        <v>1361</v>
      </c>
      <c r="K46" s="2">
        <v>-68.8564301</v>
      </c>
      <c r="L46" s="2">
        <v>-32.8918642</v>
      </c>
    </row>
    <row r="47">
      <c r="A47" s="1">
        <v>409.0</v>
      </c>
      <c r="B47" s="1" t="s">
        <v>24</v>
      </c>
      <c r="C47" s="1">
        <v>1.0</v>
      </c>
      <c r="D47" s="1" t="s">
        <v>1363</v>
      </c>
      <c r="E47" s="1" t="s">
        <v>1104</v>
      </c>
      <c r="F47" s="1" t="s">
        <v>1309</v>
      </c>
      <c r="G47" s="1" t="s">
        <v>1364</v>
      </c>
      <c r="H47" s="1" t="s">
        <v>1365</v>
      </c>
      <c r="I47" s="1" t="s">
        <v>21</v>
      </c>
      <c r="J47" s="1" t="s">
        <v>1366</v>
      </c>
      <c r="K47" s="2">
        <v>-68.858372</v>
      </c>
      <c r="L47" s="2">
        <v>-32.891507</v>
      </c>
    </row>
    <row r="48">
      <c r="A48" s="1">
        <v>492.0</v>
      </c>
      <c r="B48" s="1" t="s">
        <v>109</v>
      </c>
      <c r="C48" s="1">
        <v>10.0</v>
      </c>
      <c r="D48" s="1" t="s">
        <v>1368</v>
      </c>
      <c r="E48" s="1" t="s">
        <v>1104</v>
      </c>
      <c r="F48" s="1" t="s">
        <v>1309</v>
      </c>
      <c r="G48" s="1" t="s">
        <v>1369</v>
      </c>
      <c r="H48" s="1" t="s">
        <v>1370</v>
      </c>
      <c r="I48" s="1" t="s">
        <v>21</v>
      </c>
      <c r="J48" s="1" t="s">
        <v>1371</v>
      </c>
      <c r="K48" s="2">
        <v>-68.839417</v>
      </c>
      <c r="L48" s="2">
        <v>-32.8914819</v>
      </c>
    </row>
    <row r="49">
      <c r="A49" s="1">
        <v>506.0</v>
      </c>
      <c r="B49" s="1" t="s">
        <v>109</v>
      </c>
      <c r="C49" s="1">
        <v>4.0</v>
      </c>
      <c r="D49" s="1" t="s">
        <v>1372</v>
      </c>
      <c r="E49" s="1" t="s">
        <v>1104</v>
      </c>
      <c r="F49" s="1" t="s">
        <v>1309</v>
      </c>
      <c r="G49" s="1" t="s">
        <v>1374</v>
      </c>
      <c r="H49" s="1" t="s">
        <v>1375</v>
      </c>
      <c r="I49" s="1" t="s">
        <v>21</v>
      </c>
      <c r="J49" s="1" t="s">
        <v>1376</v>
      </c>
      <c r="K49" s="2">
        <v>-68.8387049</v>
      </c>
      <c r="L49" s="2">
        <v>-32.8886989</v>
      </c>
    </row>
    <row r="50">
      <c r="A50" s="1">
        <v>508.0</v>
      </c>
      <c r="B50" s="1" t="s">
        <v>109</v>
      </c>
      <c r="C50" s="1">
        <v>4.0</v>
      </c>
      <c r="D50" s="1" t="s">
        <v>1379</v>
      </c>
      <c r="E50" s="1" t="s">
        <v>1104</v>
      </c>
      <c r="F50" s="1" t="s">
        <v>1309</v>
      </c>
      <c r="G50" s="1" t="s">
        <v>1381</v>
      </c>
      <c r="H50" s="1" t="s">
        <v>1382</v>
      </c>
      <c r="I50" s="1" t="s">
        <v>21</v>
      </c>
      <c r="J50" s="1" t="s">
        <v>1383</v>
      </c>
      <c r="K50" s="2">
        <v>-68.838793</v>
      </c>
      <c r="L50" s="2">
        <v>-32.8888648</v>
      </c>
    </row>
    <row r="51">
      <c r="A51" s="1">
        <v>509.0</v>
      </c>
      <c r="B51" s="1" t="s">
        <v>109</v>
      </c>
      <c r="C51" s="1">
        <v>5.0</v>
      </c>
      <c r="D51" s="1" t="s">
        <v>416</v>
      </c>
      <c r="E51" s="1" t="s">
        <v>1104</v>
      </c>
      <c r="F51" s="1" t="s">
        <v>1309</v>
      </c>
      <c r="G51" s="1" t="s">
        <v>1388</v>
      </c>
      <c r="H51" s="1" t="s">
        <v>474</v>
      </c>
      <c r="I51" s="1" t="s">
        <v>21</v>
      </c>
      <c r="J51" s="1" t="s">
        <v>1390</v>
      </c>
      <c r="K51" s="2">
        <v>-68.8387654</v>
      </c>
      <c r="L51" s="2">
        <v>-32.8890227</v>
      </c>
    </row>
    <row r="52">
      <c r="A52" s="1">
        <v>514.0</v>
      </c>
      <c r="B52" s="1" t="s">
        <v>109</v>
      </c>
      <c r="C52" s="1">
        <v>2.0</v>
      </c>
      <c r="D52" s="1" t="s">
        <v>1394</v>
      </c>
      <c r="E52" s="1" t="s">
        <v>1104</v>
      </c>
      <c r="F52" s="1" t="s">
        <v>1309</v>
      </c>
      <c r="G52" s="1" t="s">
        <v>1395</v>
      </c>
      <c r="H52" s="1" t="s">
        <v>1396</v>
      </c>
      <c r="I52" s="1" t="s">
        <v>21</v>
      </c>
      <c r="J52" s="1" t="s">
        <v>1397</v>
      </c>
      <c r="K52" s="2">
        <v>-68.8384136</v>
      </c>
      <c r="L52" s="2">
        <v>-32.8875996</v>
      </c>
    </row>
    <row r="53">
      <c r="A53" s="1">
        <v>515.0</v>
      </c>
      <c r="B53" s="1" t="s">
        <v>109</v>
      </c>
      <c r="C53" s="1">
        <v>2.0</v>
      </c>
      <c r="D53" s="1" t="s">
        <v>1401</v>
      </c>
      <c r="E53" s="1" t="s">
        <v>1104</v>
      </c>
      <c r="F53" s="1" t="s">
        <v>1309</v>
      </c>
      <c r="G53" s="1" t="s">
        <v>1402</v>
      </c>
      <c r="H53" s="1" t="s">
        <v>1404</v>
      </c>
      <c r="I53" s="1" t="s">
        <v>21</v>
      </c>
      <c r="J53" s="1" t="s">
        <v>1405</v>
      </c>
      <c r="K53" s="2">
        <v>-68.838443</v>
      </c>
      <c r="L53" s="2">
        <v>-32.887633</v>
      </c>
    </row>
    <row r="54">
      <c r="A54" s="1">
        <v>534.0</v>
      </c>
      <c r="B54" s="1" t="s">
        <v>109</v>
      </c>
      <c r="C54" s="1">
        <v>6.0</v>
      </c>
      <c r="D54" s="1">
        <v>0.0</v>
      </c>
      <c r="E54" s="1" t="s">
        <v>1104</v>
      </c>
      <c r="F54" s="1" t="s">
        <v>1309</v>
      </c>
      <c r="G54" s="1" t="s">
        <v>1409</v>
      </c>
      <c r="H54" s="1" t="s">
        <v>1411</v>
      </c>
      <c r="I54" s="1" t="s">
        <v>21</v>
      </c>
      <c r="J54" s="1" t="s">
        <v>1412</v>
      </c>
      <c r="K54" s="2">
        <v>-68.838296</v>
      </c>
      <c r="L54" s="2">
        <v>-32.886883</v>
      </c>
    </row>
    <row r="55">
      <c r="A55" s="1">
        <v>603.0</v>
      </c>
      <c r="B55" s="1" t="s">
        <v>109</v>
      </c>
      <c r="C55" s="1">
        <v>9.0</v>
      </c>
      <c r="D55" s="1" t="s">
        <v>1415</v>
      </c>
      <c r="E55" s="1" t="s">
        <v>1104</v>
      </c>
      <c r="F55" s="1" t="s">
        <v>1309</v>
      </c>
      <c r="G55" s="1" t="s">
        <v>1416</v>
      </c>
      <c r="H55" s="1" t="s">
        <v>1417</v>
      </c>
      <c r="I55" s="1" t="s">
        <v>21</v>
      </c>
      <c r="J55" s="1" t="s">
        <v>1419</v>
      </c>
      <c r="K55" s="2">
        <v>-68.83897879999999</v>
      </c>
      <c r="L55" s="2">
        <v>-32.88793030000001</v>
      </c>
    </row>
    <row r="56">
      <c r="A56" s="1">
        <v>604.0</v>
      </c>
      <c r="B56" s="1" t="s">
        <v>109</v>
      </c>
      <c r="C56" s="1">
        <v>9.0</v>
      </c>
      <c r="D56" s="1" t="s">
        <v>992</v>
      </c>
      <c r="E56" s="1" t="s">
        <v>1104</v>
      </c>
      <c r="F56" s="1" t="s">
        <v>1309</v>
      </c>
      <c r="G56" s="1" t="s">
        <v>1422</v>
      </c>
      <c r="H56" s="1" t="s">
        <v>993</v>
      </c>
      <c r="I56" s="1" t="s">
        <v>21</v>
      </c>
      <c r="J56" s="1" t="s">
        <v>1425</v>
      </c>
      <c r="K56" s="2">
        <v>-68.83883209999999</v>
      </c>
      <c r="L56" s="2">
        <v>-32.8878887</v>
      </c>
    </row>
    <row r="57">
      <c r="A57" s="1">
        <v>612.0</v>
      </c>
      <c r="B57" s="1" t="s">
        <v>109</v>
      </c>
      <c r="C57" s="1">
        <v>7.0</v>
      </c>
      <c r="D57" s="1" t="s">
        <v>1177</v>
      </c>
      <c r="E57" s="1" t="s">
        <v>1104</v>
      </c>
      <c r="F57" s="1" t="s">
        <v>1309</v>
      </c>
      <c r="G57" s="1" t="s">
        <v>1430</v>
      </c>
      <c r="H57" s="1" t="s">
        <v>1179</v>
      </c>
      <c r="I57" s="1" t="s">
        <v>21</v>
      </c>
      <c r="J57" s="1" t="s">
        <v>1432</v>
      </c>
      <c r="K57" s="2">
        <v>-68.8392269</v>
      </c>
      <c r="L57" s="2">
        <v>-32.8891009</v>
      </c>
    </row>
    <row r="58">
      <c r="A58" s="1">
        <v>791.0</v>
      </c>
      <c r="B58" s="1" t="s">
        <v>55</v>
      </c>
      <c r="C58" s="1">
        <v>6.0</v>
      </c>
      <c r="D58" s="1">
        <v>0.0</v>
      </c>
      <c r="E58" s="1" t="s">
        <v>1104</v>
      </c>
      <c r="F58" s="1" t="s">
        <v>1309</v>
      </c>
      <c r="G58" s="1" t="s">
        <v>1434</v>
      </c>
      <c r="H58" s="3" t="s">
        <v>1437</v>
      </c>
      <c r="I58" s="1" t="s">
        <v>21</v>
      </c>
      <c r="J58" s="1" t="s">
        <v>1439</v>
      </c>
      <c r="K58" s="2">
        <v>-68.838972</v>
      </c>
      <c r="L58" s="2">
        <v>-32.886071</v>
      </c>
    </row>
    <row r="59">
      <c r="A59" s="1">
        <v>800.0</v>
      </c>
      <c r="B59" s="1" t="s">
        <v>55</v>
      </c>
      <c r="C59" s="1">
        <v>0.0</v>
      </c>
      <c r="D59" s="1">
        <v>0.0</v>
      </c>
      <c r="E59" s="1" t="s">
        <v>1104</v>
      </c>
      <c r="F59" s="1" t="s">
        <v>1309</v>
      </c>
      <c r="G59" s="1" t="s">
        <v>1443</v>
      </c>
      <c r="H59" s="1">
        <v>0.0</v>
      </c>
      <c r="I59" s="1" t="s">
        <v>21</v>
      </c>
      <c r="J59" s="1" t="s">
        <v>1445</v>
      </c>
      <c r="K59" s="2">
        <v>-68.8396269</v>
      </c>
      <c r="L59" s="2">
        <v>-32.8858759</v>
      </c>
    </row>
    <row r="60">
      <c r="A60" s="1">
        <v>803.0</v>
      </c>
      <c r="B60" s="1" t="s">
        <v>55</v>
      </c>
      <c r="C60" s="1">
        <v>8.0</v>
      </c>
      <c r="D60" s="1" t="s">
        <v>1447</v>
      </c>
      <c r="E60" s="1" t="s">
        <v>1104</v>
      </c>
      <c r="F60" s="1" t="s">
        <v>1309</v>
      </c>
      <c r="G60" s="1" t="s">
        <v>1449</v>
      </c>
      <c r="H60" s="3" t="s">
        <v>1451</v>
      </c>
      <c r="I60" s="1" t="s">
        <v>21</v>
      </c>
      <c r="J60" s="1" t="s">
        <v>1453</v>
      </c>
      <c r="K60" s="2">
        <v>-68.839829</v>
      </c>
      <c r="L60" s="2">
        <v>-32.885807</v>
      </c>
    </row>
    <row r="61">
      <c r="A61" s="1">
        <v>805.0</v>
      </c>
      <c r="B61" s="1" t="s">
        <v>55</v>
      </c>
      <c r="C61" s="1">
        <v>8.0</v>
      </c>
      <c r="D61" s="1">
        <v>0.0</v>
      </c>
      <c r="E61" s="1" t="s">
        <v>1104</v>
      </c>
      <c r="F61" s="1" t="s">
        <v>1309</v>
      </c>
      <c r="G61" s="1" t="s">
        <v>1457</v>
      </c>
      <c r="H61" s="3" t="s">
        <v>1330</v>
      </c>
      <c r="I61" s="1" t="s">
        <v>21</v>
      </c>
      <c r="J61" s="1" t="s">
        <v>1459</v>
      </c>
      <c r="K61" s="2">
        <v>-68.8398713</v>
      </c>
      <c r="L61" s="2">
        <v>-32.885828</v>
      </c>
    </row>
    <row r="62">
      <c r="A62" s="1">
        <v>815.0</v>
      </c>
      <c r="B62" s="1" t="s">
        <v>55</v>
      </c>
      <c r="C62" s="1">
        <v>10.0</v>
      </c>
      <c r="D62" s="1" t="s">
        <v>422</v>
      </c>
      <c r="E62" s="1" t="s">
        <v>1104</v>
      </c>
      <c r="F62" s="1" t="s">
        <v>1309</v>
      </c>
      <c r="G62" s="1" t="s">
        <v>1463</v>
      </c>
      <c r="H62" s="1" t="s">
        <v>424</v>
      </c>
      <c r="I62" s="1" t="s">
        <v>21</v>
      </c>
      <c r="J62" s="1" t="s">
        <v>1465</v>
      </c>
      <c r="K62" s="2">
        <v>-68.84109</v>
      </c>
      <c r="L62" s="2">
        <v>-32.88561200000001</v>
      </c>
    </row>
    <row r="63">
      <c r="A63" s="1">
        <v>819.0</v>
      </c>
      <c r="B63" s="1" t="s">
        <v>55</v>
      </c>
      <c r="C63" s="1">
        <v>10.0</v>
      </c>
      <c r="D63" s="1" t="s">
        <v>1467</v>
      </c>
      <c r="E63" s="1" t="s">
        <v>1104</v>
      </c>
      <c r="F63" s="1" t="s">
        <v>1309</v>
      </c>
      <c r="G63" s="1" t="s">
        <v>1471</v>
      </c>
      <c r="H63" s="3" t="s">
        <v>1336</v>
      </c>
      <c r="I63" s="1" t="s">
        <v>21</v>
      </c>
      <c r="J63" s="1" t="s">
        <v>1473</v>
      </c>
      <c r="K63" s="2">
        <v>-68.84109</v>
      </c>
      <c r="L63" s="2">
        <v>-32.88561200000001</v>
      </c>
    </row>
    <row r="64">
      <c r="A64" s="1">
        <v>919.0</v>
      </c>
      <c r="B64" s="1" t="s">
        <v>55</v>
      </c>
      <c r="C64" s="1">
        <v>16.0</v>
      </c>
      <c r="D64" s="1" t="s">
        <v>1477</v>
      </c>
      <c r="E64" s="1" t="s">
        <v>1104</v>
      </c>
      <c r="F64" s="1" t="s">
        <v>1309</v>
      </c>
      <c r="G64" s="1" t="s">
        <v>1478</v>
      </c>
      <c r="H64" s="3" t="s">
        <v>1479</v>
      </c>
      <c r="I64" s="1" t="s">
        <v>21</v>
      </c>
      <c r="J64" s="1" t="s">
        <v>1481</v>
      </c>
      <c r="K64" s="2">
        <v>-68.8428601</v>
      </c>
      <c r="L64" s="2">
        <v>-32.8854262</v>
      </c>
    </row>
    <row r="65">
      <c r="A65" s="1">
        <v>959.0</v>
      </c>
      <c r="B65" s="1" t="s">
        <v>55</v>
      </c>
      <c r="C65" s="1">
        <v>0.0</v>
      </c>
      <c r="D65" s="1">
        <v>0.0</v>
      </c>
      <c r="E65" s="1" t="s">
        <v>1104</v>
      </c>
      <c r="F65" s="1" t="s">
        <v>1309</v>
      </c>
      <c r="G65" s="1" t="s">
        <v>1484</v>
      </c>
      <c r="H65" s="1">
        <v>0.0</v>
      </c>
      <c r="I65" s="1" t="s">
        <v>21</v>
      </c>
      <c r="J65" s="1" t="s">
        <v>1485</v>
      </c>
      <c r="K65" s="2">
        <v>-68.8391829</v>
      </c>
      <c r="L65" s="2">
        <v>-32.88628</v>
      </c>
    </row>
    <row r="66">
      <c r="A66" s="1">
        <v>986.0</v>
      </c>
      <c r="B66" s="1" t="s">
        <v>62</v>
      </c>
      <c r="C66" s="1">
        <v>2.0</v>
      </c>
      <c r="D66" s="1" t="s">
        <v>1489</v>
      </c>
      <c r="E66" s="1" t="s">
        <v>1104</v>
      </c>
      <c r="F66" s="1" t="s">
        <v>1309</v>
      </c>
      <c r="G66" s="1" t="s">
        <v>1491</v>
      </c>
      <c r="H66" s="1" t="s">
        <v>1492</v>
      </c>
      <c r="I66" s="1" t="s">
        <v>21</v>
      </c>
      <c r="J66" s="1" t="s">
        <v>1493</v>
      </c>
      <c r="K66" s="2">
        <v>-68.8441568</v>
      </c>
      <c r="L66" s="2">
        <v>-32.8941253</v>
      </c>
    </row>
    <row r="67">
      <c r="A67" s="1">
        <v>1129.0</v>
      </c>
      <c r="B67" s="1" t="s">
        <v>120</v>
      </c>
      <c r="C67" s="1" t="s">
        <v>1103</v>
      </c>
      <c r="D67" s="1" t="s">
        <v>1497</v>
      </c>
      <c r="E67" s="1" t="s">
        <v>1104</v>
      </c>
      <c r="F67" s="1" t="s">
        <v>1309</v>
      </c>
      <c r="G67" s="1" t="s">
        <v>1498</v>
      </c>
      <c r="H67" s="1" t="s">
        <v>1498</v>
      </c>
      <c r="I67" s="1" t="s">
        <v>21</v>
      </c>
      <c r="J67" s="1" t="s">
        <v>1499</v>
      </c>
      <c r="K67" s="2">
        <v>-68.8416246</v>
      </c>
      <c r="L67" s="2">
        <v>-32.8891207</v>
      </c>
    </row>
    <row r="68">
      <c r="A68" s="1">
        <v>1166.0</v>
      </c>
      <c r="B68" s="1" t="s">
        <v>120</v>
      </c>
      <c r="C68" s="1" t="s">
        <v>1103</v>
      </c>
      <c r="D68" s="1" t="s">
        <v>1103</v>
      </c>
      <c r="E68" s="1" t="s">
        <v>1104</v>
      </c>
      <c r="F68" s="1" t="s">
        <v>1309</v>
      </c>
      <c r="G68" s="1" t="s">
        <v>1504</v>
      </c>
      <c r="H68" s="1" t="s">
        <v>1103</v>
      </c>
      <c r="I68" s="1" t="s">
        <v>21</v>
      </c>
      <c r="J68" s="1" t="s">
        <v>1506</v>
      </c>
      <c r="K68" s="2">
        <v>-68.840259</v>
      </c>
      <c r="L68" s="2">
        <v>-32.8894469</v>
      </c>
    </row>
    <row r="69">
      <c r="A69" s="1">
        <v>1178.0</v>
      </c>
      <c r="B69" s="1" t="s">
        <v>120</v>
      </c>
      <c r="C69" s="1" t="s">
        <v>1103</v>
      </c>
      <c r="D69" s="1" t="s">
        <v>1103</v>
      </c>
      <c r="E69" s="1" t="s">
        <v>1104</v>
      </c>
      <c r="F69" s="1" t="s">
        <v>1309</v>
      </c>
      <c r="G69" s="1" t="s">
        <v>1519</v>
      </c>
      <c r="H69" s="1" t="s">
        <v>1103</v>
      </c>
      <c r="I69" s="1" t="s">
        <v>21</v>
      </c>
      <c r="J69" s="1" t="s">
        <v>1520</v>
      </c>
      <c r="K69" s="2">
        <v>-68.839609</v>
      </c>
      <c r="L69" s="2">
        <v>-32.889618</v>
      </c>
    </row>
    <row r="70">
      <c r="A70" s="1">
        <v>1209.0</v>
      </c>
      <c r="B70" s="1" t="s">
        <v>227</v>
      </c>
      <c r="C70" s="1" t="s">
        <v>1103</v>
      </c>
      <c r="D70" s="1" t="s">
        <v>1103</v>
      </c>
      <c r="E70" s="1" t="s">
        <v>1104</v>
      </c>
      <c r="F70" s="1" t="s">
        <v>1309</v>
      </c>
      <c r="G70" s="1" t="s">
        <v>1524</v>
      </c>
      <c r="H70" s="1" t="s">
        <v>1103</v>
      </c>
      <c r="I70" s="1" t="s">
        <v>21</v>
      </c>
      <c r="J70" s="1" t="s">
        <v>1526</v>
      </c>
      <c r="K70" s="2">
        <v>-68.81886349999999</v>
      </c>
      <c r="L70" s="2">
        <v>-32.8635769</v>
      </c>
    </row>
    <row r="71">
      <c r="A71" s="1">
        <v>1263.0</v>
      </c>
      <c r="B71" s="1" t="s">
        <v>248</v>
      </c>
      <c r="C71" s="1" t="s">
        <v>1103</v>
      </c>
      <c r="D71" s="1" t="s">
        <v>1103</v>
      </c>
      <c r="E71" s="1" t="s">
        <v>1104</v>
      </c>
      <c r="F71" s="1" t="s">
        <v>1309</v>
      </c>
      <c r="G71" s="1" t="s">
        <v>1530</v>
      </c>
      <c r="H71" s="1" t="s">
        <v>1103</v>
      </c>
      <c r="I71" s="1" t="s">
        <v>21</v>
      </c>
      <c r="J71" s="1" t="s">
        <v>1531</v>
      </c>
      <c r="K71" s="2">
        <v>-68.8458386</v>
      </c>
      <c r="L71" s="2">
        <v>-32.8894587</v>
      </c>
    </row>
    <row r="72">
      <c r="A72" s="1">
        <v>1316.0</v>
      </c>
      <c r="B72" s="1" t="s">
        <v>248</v>
      </c>
      <c r="C72" s="1" t="s">
        <v>1103</v>
      </c>
      <c r="D72" s="1" t="s">
        <v>1103</v>
      </c>
      <c r="E72" s="1" t="s">
        <v>1104</v>
      </c>
      <c r="F72" s="1" t="s">
        <v>1309</v>
      </c>
      <c r="G72" s="1" t="s">
        <v>1533</v>
      </c>
      <c r="H72" s="1" t="s">
        <v>1103</v>
      </c>
      <c r="I72" s="1" t="s">
        <v>21</v>
      </c>
      <c r="J72" s="1" t="s">
        <v>1536</v>
      </c>
      <c r="K72" s="2">
        <v>-68.8458386</v>
      </c>
      <c r="L72" s="2">
        <v>-32.8894587</v>
      </c>
    </row>
    <row r="73">
      <c r="A73" s="1">
        <v>1466.0</v>
      </c>
      <c r="D73" s="1" t="s">
        <v>1538</v>
      </c>
      <c r="E73" s="1" t="s">
        <v>1104</v>
      </c>
      <c r="F73" s="1" t="s">
        <v>1309</v>
      </c>
      <c r="G73" s="1" t="s">
        <v>1539</v>
      </c>
      <c r="I73" s="1" t="s">
        <v>21</v>
      </c>
      <c r="J73" s="1" t="s">
        <v>1541</v>
      </c>
      <c r="K73" s="2">
        <v>-68.838724</v>
      </c>
      <c r="L73" s="2">
        <v>-32.889123</v>
      </c>
    </row>
    <row r="74">
      <c r="A74" s="1">
        <v>1508.0</v>
      </c>
      <c r="D74" s="1" t="s">
        <v>1543</v>
      </c>
      <c r="E74" s="1" t="s">
        <v>1104</v>
      </c>
      <c r="F74" s="1" t="s">
        <v>1309</v>
      </c>
      <c r="G74" s="1" t="s">
        <v>1545</v>
      </c>
      <c r="I74" s="1" t="s">
        <v>21</v>
      </c>
      <c r="J74" s="1" t="s">
        <v>1547</v>
      </c>
      <c r="K74" s="2">
        <v>-68.839247</v>
      </c>
      <c r="L74" s="2">
        <v>-32.890554</v>
      </c>
    </row>
    <row r="75">
      <c r="A75" s="1">
        <v>1559.0</v>
      </c>
      <c r="D75" s="1" t="s">
        <v>1548</v>
      </c>
      <c r="E75" s="1" t="s">
        <v>1104</v>
      </c>
      <c r="F75" s="1" t="s">
        <v>1309</v>
      </c>
      <c r="G75" s="1" t="s">
        <v>1549</v>
      </c>
      <c r="I75" s="1" t="s">
        <v>21</v>
      </c>
      <c r="J75" s="1" t="s">
        <v>1550</v>
      </c>
      <c r="K75" s="2">
        <v>-68.83832</v>
      </c>
      <c r="L75" s="2">
        <v>-32.8870274</v>
      </c>
    </row>
    <row r="76">
      <c r="A76" s="1">
        <v>1615.0</v>
      </c>
      <c r="D76" s="1" t="s">
        <v>1552</v>
      </c>
      <c r="E76" s="1" t="s">
        <v>1104</v>
      </c>
      <c r="F76" s="1" t="s">
        <v>1309</v>
      </c>
      <c r="G76" s="1" t="s">
        <v>1553</v>
      </c>
      <c r="I76" s="1" t="s">
        <v>21</v>
      </c>
      <c r="J76" s="1" t="s">
        <v>1555</v>
      </c>
      <c r="K76" s="2">
        <v>-68.836103</v>
      </c>
      <c r="L76" s="2">
        <v>-32.890879</v>
      </c>
    </row>
    <row r="77">
      <c r="A77" s="1">
        <v>1640.0</v>
      </c>
      <c r="D77" s="1" t="s">
        <v>1557</v>
      </c>
      <c r="E77" s="1" t="s">
        <v>1104</v>
      </c>
      <c r="F77" s="1" t="s">
        <v>1309</v>
      </c>
      <c r="G77" s="1" t="s">
        <v>1559</v>
      </c>
      <c r="I77" s="1" t="s">
        <v>21</v>
      </c>
      <c r="J77" s="1" t="s">
        <v>1560</v>
      </c>
      <c r="K77" s="2">
        <v>-68.83891</v>
      </c>
      <c r="L77" s="2">
        <v>-32.891374</v>
      </c>
    </row>
    <row r="78">
      <c r="A78" s="1">
        <v>231.0</v>
      </c>
      <c r="B78" s="1" t="s">
        <v>29</v>
      </c>
      <c r="C78" s="1" t="s">
        <v>1103</v>
      </c>
      <c r="D78" s="1" t="s">
        <v>1103</v>
      </c>
      <c r="E78" s="1" t="s">
        <v>1104</v>
      </c>
      <c r="F78" s="1" t="s">
        <v>1564</v>
      </c>
      <c r="G78" s="3" t="s">
        <v>1565</v>
      </c>
      <c r="H78" s="1" t="s">
        <v>1103</v>
      </c>
      <c r="I78" s="1" t="s">
        <v>21</v>
      </c>
      <c r="J78" s="1" t="s">
        <v>1568</v>
      </c>
      <c r="K78" s="2">
        <v>-68.8395117</v>
      </c>
      <c r="L78" s="2">
        <v>-32.8867305</v>
      </c>
    </row>
    <row r="79">
      <c r="A79" s="1">
        <v>270.0</v>
      </c>
      <c r="B79" s="1" t="s">
        <v>51</v>
      </c>
      <c r="C79" s="1" t="s">
        <v>1103</v>
      </c>
      <c r="D79" s="1" t="s">
        <v>1103</v>
      </c>
      <c r="E79" s="1" t="s">
        <v>1104</v>
      </c>
      <c r="F79" s="1" t="s">
        <v>1564</v>
      </c>
      <c r="G79" s="1" t="s">
        <v>1570</v>
      </c>
      <c r="H79" s="1" t="s">
        <v>1103</v>
      </c>
      <c r="I79" s="1" t="s">
        <v>21</v>
      </c>
      <c r="J79" s="1" t="s">
        <v>1572</v>
      </c>
      <c r="K79" s="2">
        <v>-68.84000449999999</v>
      </c>
      <c r="L79" s="2">
        <v>-32.890499</v>
      </c>
    </row>
    <row r="80">
      <c r="A80" s="1">
        <v>584.0</v>
      </c>
      <c r="B80" s="1" t="s">
        <v>109</v>
      </c>
      <c r="C80" s="1">
        <v>4.0</v>
      </c>
      <c r="D80" s="1" t="s">
        <v>1494</v>
      </c>
      <c r="E80" s="1" t="s">
        <v>1104</v>
      </c>
      <c r="F80" s="1" t="s">
        <v>1564</v>
      </c>
      <c r="G80" s="1" t="s">
        <v>1576</v>
      </c>
      <c r="H80" s="1" t="s">
        <v>1495</v>
      </c>
      <c r="I80" s="1" t="s">
        <v>21</v>
      </c>
      <c r="J80" s="1" t="s">
        <v>1578</v>
      </c>
      <c r="K80" s="2">
        <v>-68.838357</v>
      </c>
      <c r="L80" s="2">
        <v>-32.88606</v>
      </c>
    </row>
    <row r="81">
      <c r="A81" s="1">
        <v>594.0</v>
      </c>
      <c r="B81" s="1" t="s">
        <v>109</v>
      </c>
      <c r="C81" s="1">
        <v>11.0</v>
      </c>
      <c r="D81" s="1" t="s">
        <v>1582</v>
      </c>
      <c r="E81" s="1" t="s">
        <v>1104</v>
      </c>
      <c r="F81" s="1" t="s">
        <v>1564</v>
      </c>
      <c r="G81" s="1" t="s">
        <v>1584</v>
      </c>
      <c r="H81" s="1" t="s">
        <v>1585</v>
      </c>
      <c r="I81" s="1" t="s">
        <v>21</v>
      </c>
      <c r="J81" s="1" t="s">
        <v>1587</v>
      </c>
      <c r="K81" s="2">
        <v>-68.838714</v>
      </c>
      <c r="L81" s="2">
        <v>-32.886928</v>
      </c>
    </row>
    <row r="82">
      <c r="A82" s="1">
        <v>816.0</v>
      </c>
      <c r="B82" s="1" t="s">
        <v>55</v>
      </c>
      <c r="C82" s="1">
        <v>10.0</v>
      </c>
      <c r="D82" s="1" t="s">
        <v>418</v>
      </c>
      <c r="E82" s="1" t="s">
        <v>1104</v>
      </c>
      <c r="F82" s="1" t="s">
        <v>1564</v>
      </c>
      <c r="G82" s="1" t="s">
        <v>1591</v>
      </c>
      <c r="H82" s="1" t="s">
        <v>428</v>
      </c>
      <c r="I82" s="1" t="s">
        <v>21</v>
      </c>
      <c r="J82" s="1" t="s">
        <v>1593</v>
      </c>
      <c r="K82" s="2">
        <v>-68.84109</v>
      </c>
      <c r="L82" s="2">
        <v>-32.88561200000001</v>
      </c>
    </row>
    <row r="83">
      <c r="A83" s="1">
        <v>1001.0</v>
      </c>
      <c r="B83" s="1" t="s">
        <v>62</v>
      </c>
      <c r="C83" s="1">
        <v>4.0</v>
      </c>
      <c r="D83" s="1">
        <v>0.0</v>
      </c>
      <c r="E83" s="1" t="s">
        <v>1104</v>
      </c>
      <c r="F83" s="1" t="s">
        <v>1564</v>
      </c>
      <c r="G83" s="1" t="s">
        <v>473</v>
      </c>
      <c r="H83" s="1">
        <v>0.0</v>
      </c>
      <c r="I83" s="1" t="s">
        <v>21</v>
      </c>
      <c r="J83" s="1" t="s">
        <v>476</v>
      </c>
      <c r="K83" s="2">
        <v>-68.8460635</v>
      </c>
      <c r="L83" s="2">
        <v>-32.8938367</v>
      </c>
    </row>
    <row r="84">
      <c r="A84" s="1">
        <v>1105.0</v>
      </c>
      <c r="B84" s="1" t="s">
        <v>120</v>
      </c>
      <c r="C84" s="1" t="s">
        <v>1103</v>
      </c>
      <c r="D84" s="1" t="s">
        <v>1598</v>
      </c>
      <c r="E84" s="1" t="s">
        <v>1104</v>
      </c>
      <c r="F84" s="1" t="s">
        <v>1564</v>
      </c>
      <c r="G84" s="1" t="s">
        <v>1004</v>
      </c>
      <c r="H84" s="1" t="s">
        <v>1103</v>
      </c>
      <c r="I84" s="1" t="s">
        <v>21</v>
      </c>
      <c r="J84" s="1" t="s">
        <v>1006</v>
      </c>
      <c r="K84" s="2">
        <v>-68.8396413</v>
      </c>
      <c r="L84" s="2">
        <v>-32.8893426</v>
      </c>
    </row>
    <row r="85">
      <c r="A85" s="1">
        <v>1112.0</v>
      </c>
      <c r="B85" s="1" t="s">
        <v>120</v>
      </c>
      <c r="C85" s="1" t="s">
        <v>1103</v>
      </c>
      <c r="D85" s="1" t="s">
        <v>1103</v>
      </c>
      <c r="E85" s="1" t="s">
        <v>1104</v>
      </c>
      <c r="F85" s="1" t="s">
        <v>1564</v>
      </c>
      <c r="G85" s="1" t="s">
        <v>1604</v>
      </c>
      <c r="H85" s="1" t="s">
        <v>1103</v>
      </c>
      <c r="I85" s="1" t="s">
        <v>21</v>
      </c>
      <c r="J85" s="1" t="s">
        <v>1606</v>
      </c>
      <c r="K85" s="2">
        <v>-68.839956</v>
      </c>
      <c r="L85" s="2">
        <v>-32.889206</v>
      </c>
    </row>
    <row r="86">
      <c r="A86" s="1">
        <v>1146.0</v>
      </c>
      <c r="B86" s="1" t="s">
        <v>120</v>
      </c>
      <c r="C86" s="1" t="s">
        <v>1103</v>
      </c>
      <c r="D86" s="1" t="s">
        <v>1103</v>
      </c>
      <c r="E86" s="1" t="s">
        <v>1104</v>
      </c>
      <c r="F86" s="1" t="s">
        <v>1564</v>
      </c>
      <c r="G86" s="1" t="s">
        <v>1609</v>
      </c>
      <c r="H86" s="1" t="s">
        <v>1103</v>
      </c>
      <c r="I86" s="1" t="s">
        <v>21</v>
      </c>
      <c r="J86" s="1" t="s">
        <v>1611</v>
      </c>
      <c r="K86" s="2">
        <v>-68.842495</v>
      </c>
      <c r="L86" s="2">
        <v>-32.8890699</v>
      </c>
    </row>
    <row r="87">
      <c r="A87" s="1">
        <v>1327.0</v>
      </c>
      <c r="B87" s="1" t="s">
        <v>248</v>
      </c>
      <c r="C87" s="1" t="s">
        <v>1103</v>
      </c>
      <c r="D87" s="1" t="s">
        <v>1103</v>
      </c>
      <c r="E87" s="1" t="s">
        <v>1104</v>
      </c>
      <c r="F87" s="1" t="s">
        <v>1564</v>
      </c>
      <c r="G87" s="1" t="s">
        <v>1615</v>
      </c>
      <c r="H87" s="1" t="s">
        <v>1103</v>
      </c>
      <c r="I87" s="1" t="s">
        <v>21</v>
      </c>
      <c r="J87" s="1" t="s">
        <v>1617</v>
      </c>
      <c r="K87" s="2">
        <v>-68.84080349999999</v>
      </c>
      <c r="L87" s="2">
        <v>-32.8861972</v>
      </c>
    </row>
    <row r="88">
      <c r="A88" s="1">
        <v>90.0</v>
      </c>
      <c r="B88" s="1" t="s">
        <v>29</v>
      </c>
      <c r="C88" s="1" t="s">
        <v>1103</v>
      </c>
      <c r="D88" s="1" t="s">
        <v>1621</v>
      </c>
      <c r="E88" s="1" t="s">
        <v>1104</v>
      </c>
      <c r="F88" s="1" t="s">
        <v>1622</v>
      </c>
      <c r="G88" s="3" t="s">
        <v>1624</v>
      </c>
      <c r="H88" s="1" t="s">
        <v>1103</v>
      </c>
      <c r="I88" s="1" t="s">
        <v>21</v>
      </c>
      <c r="J88" s="1" t="s">
        <v>1626</v>
      </c>
      <c r="K88" s="2">
        <v>-68.8392613</v>
      </c>
      <c r="L88" s="2">
        <v>-32.8843131</v>
      </c>
    </row>
    <row r="89">
      <c r="A89" s="1">
        <v>93.0</v>
      </c>
      <c r="B89" s="1" t="s">
        <v>29</v>
      </c>
      <c r="C89" s="1" t="s">
        <v>1103</v>
      </c>
      <c r="D89" s="1" t="s">
        <v>1103</v>
      </c>
      <c r="E89" s="1" t="s">
        <v>1104</v>
      </c>
      <c r="F89" s="1" t="s">
        <v>1622</v>
      </c>
      <c r="G89" s="3" t="s">
        <v>1628</v>
      </c>
      <c r="H89" s="1" t="s">
        <v>1103</v>
      </c>
      <c r="I89" s="1" t="s">
        <v>21</v>
      </c>
      <c r="J89" s="1" t="s">
        <v>1630</v>
      </c>
      <c r="K89" s="2">
        <v>-68.83923159999999</v>
      </c>
      <c r="L89" s="2">
        <v>-32.8843764</v>
      </c>
    </row>
    <row r="90">
      <c r="A90" s="1">
        <v>94.0</v>
      </c>
      <c r="B90" s="1" t="s">
        <v>29</v>
      </c>
      <c r="C90" s="1" t="s">
        <v>1103</v>
      </c>
      <c r="D90" s="1" t="s">
        <v>1103</v>
      </c>
      <c r="E90" s="1" t="s">
        <v>1104</v>
      </c>
      <c r="F90" s="1" t="s">
        <v>1622</v>
      </c>
      <c r="G90" s="3" t="s">
        <v>1628</v>
      </c>
      <c r="H90" s="1" t="s">
        <v>1103</v>
      </c>
      <c r="I90" s="1" t="s">
        <v>21</v>
      </c>
      <c r="J90" s="1" t="s">
        <v>1635</v>
      </c>
      <c r="K90" s="2">
        <v>-68.83923159999999</v>
      </c>
      <c r="L90" s="2">
        <v>-32.8843764</v>
      </c>
    </row>
    <row r="91">
      <c r="A91" s="1">
        <v>95.0</v>
      </c>
      <c r="B91" s="1" t="s">
        <v>29</v>
      </c>
      <c r="C91" s="1" t="s">
        <v>1103</v>
      </c>
      <c r="D91" s="1" t="s">
        <v>1639</v>
      </c>
      <c r="E91" s="1" t="s">
        <v>1104</v>
      </c>
      <c r="F91" s="1" t="s">
        <v>1622</v>
      </c>
      <c r="G91" s="3" t="s">
        <v>1640</v>
      </c>
      <c r="H91" s="1" t="s">
        <v>1103</v>
      </c>
      <c r="I91" s="1" t="s">
        <v>21</v>
      </c>
      <c r="J91" s="1" t="s">
        <v>1645</v>
      </c>
      <c r="K91" s="2">
        <v>-68.8393103</v>
      </c>
      <c r="L91" s="2">
        <v>-32.8845068</v>
      </c>
    </row>
    <row r="92">
      <c r="A92" s="1">
        <v>96.0</v>
      </c>
      <c r="B92" s="1" t="s">
        <v>29</v>
      </c>
      <c r="C92" s="1" t="s">
        <v>1103</v>
      </c>
      <c r="D92" s="1" t="s">
        <v>1103</v>
      </c>
      <c r="E92" s="1" t="s">
        <v>1104</v>
      </c>
      <c r="F92" s="1" t="s">
        <v>1622</v>
      </c>
      <c r="G92" s="3" t="s">
        <v>1649</v>
      </c>
      <c r="H92" s="1" t="s">
        <v>1103</v>
      </c>
      <c r="I92" s="1" t="s">
        <v>21</v>
      </c>
      <c r="J92" s="1" t="s">
        <v>1650</v>
      </c>
      <c r="K92" s="2">
        <v>-68.839315</v>
      </c>
      <c r="L92" s="2">
        <v>-32.8846519</v>
      </c>
    </row>
    <row r="93">
      <c r="A93" s="1">
        <v>97.0</v>
      </c>
      <c r="B93" s="1" t="s">
        <v>29</v>
      </c>
      <c r="C93" s="1" t="s">
        <v>1103</v>
      </c>
      <c r="D93" s="1" t="s">
        <v>1103</v>
      </c>
      <c r="E93" s="1" t="s">
        <v>1104</v>
      </c>
      <c r="F93" s="1" t="s">
        <v>1622</v>
      </c>
      <c r="G93" s="3" t="s">
        <v>1653</v>
      </c>
      <c r="H93" s="1" t="s">
        <v>1103</v>
      </c>
      <c r="I93" s="1" t="s">
        <v>21</v>
      </c>
      <c r="J93" s="1" t="s">
        <v>1655</v>
      </c>
      <c r="K93" s="2">
        <v>-68.8392467</v>
      </c>
      <c r="L93" s="2">
        <v>-32.8847158</v>
      </c>
    </row>
    <row r="94">
      <c r="A94" s="1">
        <v>98.0</v>
      </c>
      <c r="B94" s="1" t="s">
        <v>29</v>
      </c>
      <c r="C94" s="1" t="s">
        <v>1103</v>
      </c>
      <c r="D94" s="1" t="s">
        <v>1103</v>
      </c>
      <c r="E94" s="1" t="s">
        <v>1104</v>
      </c>
      <c r="F94" s="1" t="s">
        <v>1622</v>
      </c>
      <c r="G94" s="3" t="s">
        <v>1659</v>
      </c>
      <c r="H94" s="1" t="s">
        <v>1103</v>
      </c>
      <c r="I94" s="1" t="s">
        <v>21</v>
      </c>
      <c r="J94" s="1" t="s">
        <v>1661</v>
      </c>
      <c r="K94" s="2">
        <v>-68.8393751</v>
      </c>
      <c r="L94" s="2">
        <v>-32.8847712</v>
      </c>
    </row>
    <row r="95">
      <c r="A95" s="1">
        <v>99.0</v>
      </c>
      <c r="B95" s="1" t="s">
        <v>29</v>
      </c>
      <c r="C95" s="1" t="s">
        <v>1103</v>
      </c>
      <c r="D95" s="1" t="s">
        <v>1103</v>
      </c>
      <c r="E95" s="1" t="s">
        <v>1104</v>
      </c>
      <c r="F95" s="1" t="s">
        <v>1622</v>
      </c>
      <c r="G95" s="3" t="s">
        <v>1663</v>
      </c>
      <c r="H95" s="1" t="s">
        <v>1103</v>
      </c>
      <c r="I95" s="1" t="s">
        <v>21</v>
      </c>
      <c r="J95" s="1" t="s">
        <v>1666</v>
      </c>
      <c r="K95" s="2">
        <v>-68.83938130000001</v>
      </c>
      <c r="L95" s="2">
        <v>-32.8847961</v>
      </c>
    </row>
    <row r="96">
      <c r="A96" s="1">
        <v>100.0</v>
      </c>
      <c r="B96" s="1" t="s">
        <v>29</v>
      </c>
      <c r="C96" s="1" t="s">
        <v>1103</v>
      </c>
      <c r="D96" s="1" t="s">
        <v>1103</v>
      </c>
      <c r="E96" s="1" t="s">
        <v>1104</v>
      </c>
      <c r="F96" s="1" t="s">
        <v>1622</v>
      </c>
      <c r="G96" s="3" t="s">
        <v>1669</v>
      </c>
      <c r="H96" s="1" t="s">
        <v>1103</v>
      </c>
      <c r="I96" s="1" t="s">
        <v>21</v>
      </c>
      <c r="J96" s="1" t="s">
        <v>1671</v>
      </c>
      <c r="K96" s="2">
        <v>-68.839432</v>
      </c>
      <c r="L96" s="2">
        <v>-32.8850429</v>
      </c>
    </row>
    <row r="97">
      <c r="A97" s="1">
        <v>102.0</v>
      </c>
      <c r="B97" s="1" t="s">
        <v>29</v>
      </c>
      <c r="C97" s="1" t="s">
        <v>1103</v>
      </c>
      <c r="D97" s="1" t="s">
        <v>1103</v>
      </c>
      <c r="E97" s="1" t="s">
        <v>1104</v>
      </c>
      <c r="F97" s="1" t="s">
        <v>1622</v>
      </c>
      <c r="G97" s="3" t="s">
        <v>1676</v>
      </c>
      <c r="H97" s="1" t="s">
        <v>1103</v>
      </c>
      <c r="I97" s="1" t="s">
        <v>21</v>
      </c>
      <c r="J97" s="1" t="s">
        <v>1677</v>
      </c>
      <c r="K97" s="2">
        <v>-68.8393978</v>
      </c>
      <c r="L97" s="2">
        <v>-32.8852218</v>
      </c>
    </row>
    <row r="98">
      <c r="A98" s="1">
        <v>104.0</v>
      </c>
      <c r="B98" s="1" t="s">
        <v>29</v>
      </c>
      <c r="C98" s="1" t="s">
        <v>1103</v>
      </c>
      <c r="D98" s="1" t="s">
        <v>1103</v>
      </c>
      <c r="E98" s="1" t="s">
        <v>1104</v>
      </c>
      <c r="F98" s="1" t="s">
        <v>1622</v>
      </c>
      <c r="G98" s="3" t="s">
        <v>1679</v>
      </c>
      <c r="H98" s="1" t="s">
        <v>1103</v>
      </c>
      <c r="I98" s="1" t="s">
        <v>21</v>
      </c>
      <c r="J98" s="1" t="s">
        <v>1680</v>
      </c>
      <c r="K98" s="2">
        <v>-68.83949559999999</v>
      </c>
      <c r="L98" s="2">
        <v>-32.8852379</v>
      </c>
    </row>
    <row r="99">
      <c r="A99" s="1">
        <v>106.0</v>
      </c>
      <c r="B99" s="1" t="s">
        <v>29</v>
      </c>
      <c r="C99" s="1" t="s">
        <v>1103</v>
      </c>
      <c r="D99" s="1" t="s">
        <v>1103</v>
      </c>
      <c r="E99" s="1" t="s">
        <v>1104</v>
      </c>
      <c r="F99" s="1" t="s">
        <v>1622</v>
      </c>
      <c r="G99" s="3" t="s">
        <v>1688</v>
      </c>
      <c r="H99" s="1" t="s">
        <v>1103</v>
      </c>
      <c r="I99" s="1" t="s">
        <v>21</v>
      </c>
      <c r="J99" s="1" t="s">
        <v>1690</v>
      </c>
      <c r="K99" s="2">
        <v>-68.83951470000001</v>
      </c>
      <c r="L99" s="2">
        <v>-32.8854253</v>
      </c>
    </row>
    <row r="100">
      <c r="A100" s="1">
        <v>108.0</v>
      </c>
      <c r="B100" s="1" t="s">
        <v>29</v>
      </c>
      <c r="C100" s="1" t="s">
        <v>1103</v>
      </c>
      <c r="D100" s="1" t="s">
        <v>1103</v>
      </c>
      <c r="E100" s="1" t="s">
        <v>1104</v>
      </c>
      <c r="F100" s="1" t="s">
        <v>1622</v>
      </c>
      <c r="G100" s="3" t="s">
        <v>1695</v>
      </c>
      <c r="H100" s="1" t="s">
        <v>1103</v>
      </c>
      <c r="I100" s="1" t="s">
        <v>21</v>
      </c>
      <c r="J100" s="1" t="s">
        <v>1698</v>
      </c>
      <c r="K100" s="2">
        <v>-68.839565</v>
      </c>
      <c r="L100" s="2">
        <v>-32.88561200000001</v>
      </c>
    </row>
    <row r="101">
      <c r="A101" s="1">
        <v>109.0</v>
      </c>
      <c r="B101" s="1" t="s">
        <v>29</v>
      </c>
      <c r="C101" s="1" t="s">
        <v>1103</v>
      </c>
      <c r="D101" s="1" t="s">
        <v>1103</v>
      </c>
      <c r="E101" s="1" t="s">
        <v>1104</v>
      </c>
      <c r="F101" s="1" t="s">
        <v>1622</v>
      </c>
      <c r="G101" s="3" t="s">
        <v>1703</v>
      </c>
      <c r="H101" s="1" t="s">
        <v>1103</v>
      </c>
      <c r="I101" s="1" t="s">
        <v>21</v>
      </c>
      <c r="J101" s="1" t="s">
        <v>1704</v>
      </c>
      <c r="K101" s="2">
        <v>-68.8395539</v>
      </c>
      <c r="L101" s="2">
        <v>-32.8856279</v>
      </c>
    </row>
    <row r="102">
      <c r="A102" s="1">
        <v>110.0</v>
      </c>
      <c r="B102" s="1" t="s">
        <v>29</v>
      </c>
      <c r="C102" s="1" t="s">
        <v>1103</v>
      </c>
      <c r="D102" s="1" t="s">
        <v>1103</v>
      </c>
      <c r="E102" s="1" t="s">
        <v>1104</v>
      </c>
      <c r="F102" s="1" t="s">
        <v>1622</v>
      </c>
      <c r="G102" s="3" t="s">
        <v>1709</v>
      </c>
      <c r="H102" s="1" t="s">
        <v>1103</v>
      </c>
      <c r="I102" s="1" t="s">
        <v>21</v>
      </c>
      <c r="J102" s="1" t="s">
        <v>1711</v>
      </c>
      <c r="K102" s="2">
        <v>-68.8396336</v>
      </c>
      <c r="L102" s="2">
        <v>-32.8857019</v>
      </c>
    </row>
    <row r="103">
      <c r="A103" s="1">
        <v>111.0</v>
      </c>
      <c r="B103" s="1" t="s">
        <v>29</v>
      </c>
      <c r="C103" s="1" t="s">
        <v>1103</v>
      </c>
      <c r="D103" s="1" t="s">
        <v>1103</v>
      </c>
      <c r="E103" s="1" t="s">
        <v>1104</v>
      </c>
      <c r="F103" s="1" t="s">
        <v>1622</v>
      </c>
      <c r="G103" s="3" t="s">
        <v>1715</v>
      </c>
      <c r="H103" s="1" t="s">
        <v>1103</v>
      </c>
      <c r="I103" s="1" t="s">
        <v>21</v>
      </c>
      <c r="J103" s="1" t="s">
        <v>1718</v>
      </c>
      <c r="K103" s="2">
        <v>-68.83960379999999</v>
      </c>
      <c r="L103" s="2">
        <v>-32.8858178</v>
      </c>
    </row>
    <row r="104">
      <c r="A104" s="1">
        <v>136.0</v>
      </c>
      <c r="B104" s="1" t="s">
        <v>29</v>
      </c>
      <c r="C104" s="1" t="s">
        <v>1103</v>
      </c>
      <c r="D104" s="1" t="s">
        <v>1103</v>
      </c>
      <c r="E104" s="1" t="s">
        <v>1104</v>
      </c>
      <c r="F104" s="1" t="s">
        <v>1622</v>
      </c>
      <c r="G104" s="1" t="s">
        <v>1721</v>
      </c>
      <c r="H104" s="1" t="s">
        <v>1103</v>
      </c>
      <c r="I104" s="1" t="s">
        <v>21</v>
      </c>
      <c r="J104" s="1" t="s">
        <v>1723</v>
      </c>
      <c r="K104" s="2">
        <v>-68.84084849999999</v>
      </c>
      <c r="L104" s="2">
        <v>-32.8899379</v>
      </c>
    </row>
    <row r="105">
      <c r="A105" s="1">
        <v>145.0</v>
      </c>
      <c r="B105" s="1" t="s">
        <v>29</v>
      </c>
      <c r="C105" s="1" t="s">
        <v>1103</v>
      </c>
      <c r="D105" s="1" t="s">
        <v>1727</v>
      </c>
      <c r="E105" s="1" t="s">
        <v>1104</v>
      </c>
      <c r="F105" s="1" t="s">
        <v>1622</v>
      </c>
      <c r="G105" s="3" t="s">
        <v>1729</v>
      </c>
      <c r="H105" s="1" t="s">
        <v>1103</v>
      </c>
      <c r="I105" s="1" t="s">
        <v>21</v>
      </c>
      <c r="J105" s="1" t="s">
        <v>1730</v>
      </c>
      <c r="K105" s="2">
        <v>-68.8409619</v>
      </c>
      <c r="L105" s="2">
        <v>-32.890831</v>
      </c>
    </row>
    <row r="106">
      <c r="A106" s="1">
        <v>146.0</v>
      </c>
      <c r="B106" s="1" t="s">
        <v>29</v>
      </c>
      <c r="C106" s="1" t="s">
        <v>1103</v>
      </c>
      <c r="D106" s="1" t="s">
        <v>1103</v>
      </c>
      <c r="E106" s="1" t="s">
        <v>1104</v>
      </c>
      <c r="F106" s="1" t="s">
        <v>1622</v>
      </c>
      <c r="G106" s="3" t="s">
        <v>1734</v>
      </c>
      <c r="H106" s="1" t="s">
        <v>1103</v>
      </c>
      <c r="I106" s="1" t="s">
        <v>21</v>
      </c>
      <c r="J106" s="1" t="s">
        <v>1736</v>
      </c>
      <c r="K106" s="2">
        <v>-68.8409619</v>
      </c>
      <c r="L106" s="2">
        <v>-32.890831</v>
      </c>
    </row>
    <row r="107">
      <c r="B107" s="1" t="s">
        <v>29</v>
      </c>
      <c r="C107" s="1">
        <v>7.0</v>
      </c>
      <c r="D107" s="1" t="s">
        <v>1740</v>
      </c>
      <c r="E107" s="1" t="s">
        <v>1104</v>
      </c>
      <c r="F107" s="1" t="s">
        <v>1622</v>
      </c>
      <c r="G107" s="3" t="s">
        <v>1742</v>
      </c>
      <c r="H107" s="3" t="s">
        <v>1742</v>
      </c>
      <c r="I107" s="1" t="s">
        <v>21</v>
      </c>
      <c r="J107" s="1" t="s">
        <v>1745</v>
      </c>
      <c r="K107" s="2">
        <v>-68.840957</v>
      </c>
      <c r="L107" s="2">
        <v>-32.890817</v>
      </c>
    </row>
    <row r="108">
      <c r="A108" s="1">
        <v>161.0</v>
      </c>
      <c r="B108" s="1" t="s">
        <v>29</v>
      </c>
      <c r="C108" s="1" t="s">
        <v>1103</v>
      </c>
      <c r="D108" s="1" t="s">
        <v>1103</v>
      </c>
      <c r="E108" s="1" t="s">
        <v>1104</v>
      </c>
      <c r="F108" s="1" t="s">
        <v>1622</v>
      </c>
      <c r="G108" s="3" t="s">
        <v>1749</v>
      </c>
      <c r="H108" s="1" t="s">
        <v>1103</v>
      </c>
      <c r="I108" s="1" t="s">
        <v>21</v>
      </c>
      <c r="J108" s="1" t="s">
        <v>1751</v>
      </c>
      <c r="K108" s="2">
        <v>-68.84110369999999</v>
      </c>
      <c r="L108" s="2">
        <v>-32.891321</v>
      </c>
    </row>
    <row r="109">
      <c r="A109" s="1">
        <v>162.0</v>
      </c>
      <c r="B109" s="1" t="s">
        <v>29</v>
      </c>
      <c r="C109" s="1" t="s">
        <v>1103</v>
      </c>
      <c r="D109" s="1" t="s">
        <v>1103</v>
      </c>
      <c r="E109" s="1" t="s">
        <v>1104</v>
      </c>
      <c r="F109" s="1" t="s">
        <v>1622</v>
      </c>
      <c r="G109" s="3" t="s">
        <v>1756</v>
      </c>
      <c r="H109" s="1" t="s">
        <v>1103</v>
      </c>
      <c r="I109" s="1" t="s">
        <v>21</v>
      </c>
      <c r="J109" s="1" t="s">
        <v>1759</v>
      </c>
      <c r="K109" s="2">
        <v>-68.841088</v>
      </c>
      <c r="L109" s="2">
        <v>-32.8913779</v>
      </c>
    </row>
    <row r="110">
      <c r="A110" s="1">
        <v>174.0</v>
      </c>
      <c r="B110" s="1" t="s">
        <v>29</v>
      </c>
      <c r="C110" s="1" t="s">
        <v>1103</v>
      </c>
      <c r="D110" s="1" t="s">
        <v>1103</v>
      </c>
      <c r="E110" s="1" t="s">
        <v>1104</v>
      </c>
      <c r="F110" s="1" t="s">
        <v>1622</v>
      </c>
      <c r="G110" s="3" t="s">
        <v>1763</v>
      </c>
      <c r="H110" s="1" t="s">
        <v>1103</v>
      </c>
      <c r="I110" s="1" t="s">
        <v>21</v>
      </c>
      <c r="J110" s="1" t="s">
        <v>1765</v>
      </c>
      <c r="K110" s="2">
        <v>-68.84128</v>
      </c>
      <c r="L110" s="2">
        <v>-32.892413</v>
      </c>
    </row>
    <row r="111">
      <c r="A111" s="1">
        <v>179.0</v>
      </c>
      <c r="B111" s="1" t="s">
        <v>29</v>
      </c>
      <c r="C111" s="1" t="s">
        <v>1103</v>
      </c>
      <c r="D111" s="1" t="s">
        <v>1103</v>
      </c>
      <c r="E111" s="1" t="s">
        <v>1104</v>
      </c>
      <c r="F111" s="1" t="s">
        <v>1622</v>
      </c>
      <c r="G111" s="3" t="s">
        <v>1769</v>
      </c>
      <c r="H111" s="1" t="s">
        <v>1103</v>
      </c>
      <c r="I111" s="1" t="s">
        <v>21</v>
      </c>
      <c r="J111" s="1" t="s">
        <v>1771</v>
      </c>
      <c r="K111" s="2">
        <v>-68.8410674</v>
      </c>
      <c r="L111" s="2">
        <v>-32.8922693</v>
      </c>
    </row>
    <row r="112">
      <c r="A112" s="1">
        <v>189.0</v>
      </c>
      <c r="B112" s="1" t="s">
        <v>29</v>
      </c>
      <c r="C112" s="1" t="s">
        <v>1103</v>
      </c>
      <c r="D112" s="1" t="s">
        <v>1103</v>
      </c>
      <c r="E112" s="1" t="s">
        <v>1104</v>
      </c>
      <c r="F112" s="1" t="s">
        <v>1622</v>
      </c>
      <c r="G112" s="3" t="s">
        <v>1777</v>
      </c>
      <c r="H112" s="1" t="s">
        <v>1103</v>
      </c>
      <c r="I112" s="1" t="s">
        <v>21</v>
      </c>
      <c r="J112" s="1" t="s">
        <v>1778</v>
      </c>
      <c r="K112" s="2">
        <v>-68.840811</v>
      </c>
      <c r="L112" s="2">
        <v>-32.8913129</v>
      </c>
    </row>
    <row r="113">
      <c r="A113" s="1">
        <v>190.0</v>
      </c>
      <c r="B113" s="1" t="s">
        <v>29</v>
      </c>
      <c r="C113" s="1" t="s">
        <v>1103</v>
      </c>
      <c r="D113" s="1" t="s">
        <v>1103</v>
      </c>
      <c r="E113" s="1" t="s">
        <v>1104</v>
      </c>
      <c r="F113" s="1" t="s">
        <v>1622</v>
      </c>
      <c r="G113" s="3" t="s">
        <v>1782</v>
      </c>
      <c r="H113" s="1" t="s">
        <v>1103</v>
      </c>
      <c r="I113" s="1" t="s">
        <v>21</v>
      </c>
      <c r="J113" s="1" t="s">
        <v>1784</v>
      </c>
      <c r="K113" s="2">
        <v>-68.8407929</v>
      </c>
      <c r="L113" s="2">
        <v>-32.891292</v>
      </c>
    </row>
    <row r="114">
      <c r="A114" s="1">
        <v>196.0</v>
      </c>
      <c r="B114" s="1" t="s">
        <v>29</v>
      </c>
      <c r="C114" s="1" t="s">
        <v>1103</v>
      </c>
      <c r="D114" s="1" t="s">
        <v>1103</v>
      </c>
      <c r="E114" s="1" t="s">
        <v>1104</v>
      </c>
      <c r="F114" s="1" t="s">
        <v>1622</v>
      </c>
      <c r="G114" s="3" t="s">
        <v>49</v>
      </c>
      <c r="H114" s="1" t="s">
        <v>1103</v>
      </c>
      <c r="I114" s="1" t="s">
        <v>21</v>
      </c>
      <c r="J114" s="1" t="s">
        <v>54</v>
      </c>
      <c r="K114" s="2">
        <v>-68.8409726</v>
      </c>
      <c r="L114" s="2">
        <v>-32.8909698</v>
      </c>
    </row>
    <row r="115">
      <c r="A115" s="1">
        <v>200.0</v>
      </c>
      <c r="B115" s="1" t="s">
        <v>29</v>
      </c>
      <c r="C115" s="1" t="s">
        <v>1103</v>
      </c>
      <c r="D115" s="1" t="s">
        <v>1103</v>
      </c>
      <c r="E115" s="1" t="s">
        <v>1104</v>
      </c>
      <c r="F115" s="1" t="s">
        <v>1622</v>
      </c>
      <c r="G115" s="1" t="s">
        <v>1792</v>
      </c>
      <c r="H115" s="1" t="s">
        <v>1103</v>
      </c>
      <c r="I115" s="1" t="s">
        <v>21</v>
      </c>
      <c r="J115" s="1" t="s">
        <v>1794</v>
      </c>
      <c r="K115" s="2">
        <v>-68.840718</v>
      </c>
      <c r="L115" s="2">
        <v>-32.890864</v>
      </c>
    </row>
    <row r="116">
      <c r="A116" s="1">
        <v>203.0</v>
      </c>
      <c r="B116" s="1" t="s">
        <v>29</v>
      </c>
      <c r="C116" s="1" t="s">
        <v>1103</v>
      </c>
      <c r="D116" s="1" t="s">
        <v>1103</v>
      </c>
      <c r="E116" s="1" t="s">
        <v>1104</v>
      </c>
      <c r="F116" s="1" t="s">
        <v>1622</v>
      </c>
      <c r="G116" s="1" t="s">
        <v>1799</v>
      </c>
      <c r="H116" s="1" t="s">
        <v>1103</v>
      </c>
      <c r="I116" s="1" t="s">
        <v>21</v>
      </c>
      <c r="J116" s="1" t="s">
        <v>1800</v>
      </c>
      <c r="K116" s="2">
        <v>-68.840718</v>
      </c>
      <c r="L116" s="2">
        <v>-32.890864</v>
      </c>
    </row>
    <row r="117">
      <c r="A117" s="1">
        <v>213.0</v>
      </c>
      <c r="B117" s="1" t="s">
        <v>29</v>
      </c>
      <c r="C117" s="1" t="s">
        <v>1103</v>
      </c>
      <c r="D117" s="1" t="s">
        <v>1103</v>
      </c>
      <c r="E117" s="1" t="s">
        <v>1104</v>
      </c>
      <c r="F117" s="1" t="s">
        <v>1622</v>
      </c>
      <c r="G117" s="3" t="s">
        <v>1807</v>
      </c>
      <c r="H117" s="1" t="s">
        <v>1103</v>
      </c>
      <c r="I117" s="1" t="s">
        <v>21</v>
      </c>
      <c r="J117" s="1" t="s">
        <v>1809</v>
      </c>
      <c r="K117" s="2">
        <v>-68.8404159</v>
      </c>
      <c r="L117" s="2">
        <v>-32.88993</v>
      </c>
    </row>
    <row r="118">
      <c r="A118" s="1">
        <v>218.0</v>
      </c>
      <c r="B118" s="1" t="s">
        <v>29</v>
      </c>
      <c r="C118" s="1" t="s">
        <v>1103</v>
      </c>
      <c r="D118" s="1" t="s">
        <v>1103</v>
      </c>
      <c r="E118" s="1" t="s">
        <v>1104</v>
      </c>
      <c r="F118" s="1" t="s">
        <v>1622</v>
      </c>
      <c r="G118" s="3" t="s">
        <v>1165</v>
      </c>
      <c r="H118" s="1" t="s">
        <v>1103</v>
      </c>
      <c r="I118" s="1" t="s">
        <v>21</v>
      </c>
      <c r="J118" s="1" t="s">
        <v>1817</v>
      </c>
      <c r="K118" s="2">
        <v>-68.8404161</v>
      </c>
      <c r="L118" s="2">
        <v>-32.889721</v>
      </c>
    </row>
    <row r="119">
      <c r="A119" s="1">
        <v>220.0</v>
      </c>
      <c r="B119" s="1" t="s">
        <v>29</v>
      </c>
      <c r="C119" s="1" t="s">
        <v>1103</v>
      </c>
      <c r="D119" s="1" t="s">
        <v>1103</v>
      </c>
      <c r="E119" s="1" t="s">
        <v>1104</v>
      </c>
      <c r="F119" s="1" t="s">
        <v>1622</v>
      </c>
      <c r="G119" s="3" t="s">
        <v>1172</v>
      </c>
      <c r="H119" s="1" t="s">
        <v>1103</v>
      </c>
      <c r="I119" s="1" t="s">
        <v>21</v>
      </c>
      <c r="J119" s="1" t="s">
        <v>1820</v>
      </c>
      <c r="K119" s="2">
        <v>-68.84029</v>
      </c>
      <c r="L119" s="2">
        <v>-32.8896699</v>
      </c>
    </row>
    <row r="120">
      <c r="A120" s="1">
        <v>222.0</v>
      </c>
      <c r="B120" s="1" t="s">
        <v>29</v>
      </c>
      <c r="C120" s="1" t="s">
        <v>1103</v>
      </c>
      <c r="D120" s="1" t="s">
        <v>1103</v>
      </c>
      <c r="E120" s="1" t="s">
        <v>1104</v>
      </c>
      <c r="F120" s="1" t="s">
        <v>1622</v>
      </c>
      <c r="G120" s="3" t="s">
        <v>1824</v>
      </c>
      <c r="H120" s="1" t="s">
        <v>1103</v>
      </c>
      <c r="I120" s="1" t="s">
        <v>21</v>
      </c>
      <c r="J120" s="1" t="s">
        <v>1826</v>
      </c>
      <c r="K120" s="2">
        <v>-68.840324</v>
      </c>
      <c r="L120" s="2">
        <v>-32.8895939</v>
      </c>
    </row>
    <row r="121">
      <c r="A121" s="1">
        <v>223.0</v>
      </c>
      <c r="B121" s="1" t="s">
        <v>29</v>
      </c>
      <c r="C121" s="1" t="s">
        <v>1103</v>
      </c>
      <c r="D121" s="1" t="s">
        <v>1103</v>
      </c>
      <c r="E121" s="1" t="s">
        <v>1104</v>
      </c>
      <c r="F121" s="1" t="s">
        <v>1622</v>
      </c>
      <c r="G121" s="3" t="s">
        <v>1834</v>
      </c>
      <c r="H121" s="1" t="s">
        <v>1103</v>
      </c>
      <c r="I121" s="1" t="s">
        <v>21</v>
      </c>
      <c r="J121" s="1" t="s">
        <v>1836</v>
      </c>
      <c r="K121" s="2">
        <v>-68.840293</v>
      </c>
      <c r="L121" s="2">
        <v>-32.8894669</v>
      </c>
    </row>
    <row r="122">
      <c r="A122" s="1">
        <v>224.0</v>
      </c>
      <c r="B122" s="1" t="s">
        <v>29</v>
      </c>
      <c r="C122" s="1" t="s">
        <v>1103</v>
      </c>
      <c r="D122" s="1" t="s">
        <v>1839</v>
      </c>
      <c r="E122" s="1" t="s">
        <v>1104</v>
      </c>
      <c r="F122" s="1" t="s">
        <v>1622</v>
      </c>
      <c r="G122" s="3" t="s">
        <v>1841</v>
      </c>
      <c r="H122" s="1" t="s">
        <v>1103</v>
      </c>
      <c r="I122" s="1" t="s">
        <v>21</v>
      </c>
      <c r="J122" s="1" t="s">
        <v>1844</v>
      </c>
      <c r="K122" s="2">
        <v>-68.840243</v>
      </c>
      <c r="L122" s="2">
        <v>-32.8891274</v>
      </c>
    </row>
    <row r="123">
      <c r="A123" s="1">
        <v>227.0</v>
      </c>
      <c r="B123" s="1" t="s">
        <v>29</v>
      </c>
      <c r="C123" s="1" t="s">
        <v>1103</v>
      </c>
      <c r="D123" s="1" t="s">
        <v>1846</v>
      </c>
      <c r="E123" s="1" t="s">
        <v>1104</v>
      </c>
      <c r="F123" s="1" t="s">
        <v>1622</v>
      </c>
      <c r="G123" s="3" t="s">
        <v>1850</v>
      </c>
      <c r="H123" s="1" t="s">
        <v>1103</v>
      </c>
      <c r="I123" s="1" t="s">
        <v>21</v>
      </c>
      <c r="J123" s="1" t="s">
        <v>1853</v>
      </c>
      <c r="K123" s="2">
        <v>-68.8400794</v>
      </c>
      <c r="L123" s="2">
        <v>-32.8886755</v>
      </c>
    </row>
    <row r="124">
      <c r="A124" s="1">
        <v>234.0</v>
      </c>
      <c r="B124" s="1" t="s">
        <v>29</v>
      </c>
      <c r="C124" s="1" t="s">
        <v>1103</v>
      </c>
      <c r="D124" s="1" t="s">
        <v>1856</v>
      </c>
      <c r="E124" s="1" t="s">
        <v>1104</v>
      </c>
      <c r="F124" s="1" t="s">
        <v>1622</v>
      </c>
      <c r="G124" s="3" t="s">
        <v>1859</v>
      </c>
      <c r="H124" s="1" t="s">
        <v>1103</v>
      </c>
      <c r="I124" s="1" t="s">
        <v>21</v>
      </c>
      <c r="J124" s="1" t="s">
        <v>1861</v>
      </c>
      <c r="K124" s="2">
        <v>-68.839392</v>
      </c>
      <c r="L124" s="2">
        <v>-32.8865539</v>
      </c>
    </row>
    <row r="125">
      <c r="A125" s="1">
        <v>239.0</v>
      </c>
      <c r="B125" s="1" t="s">
        <v>29</v>
      </c>
      <c r="C125" s="1" t="s">
        <v>1103</v>
      </c>
      <c r="D125" s="1" t="s">
        <v>1103</v>
      </c>
      <c r="E125" s="1" t="s">
        <v>1104</v>
      </c>
      <c r="F125" s="1" t="s">
        <v>1622</v>
      </c>
      <c r="G125" s="3" t="s">
        <v>1865</v>
      </c>
      <c r="H125" s="1" t="s">
        <v>1103</v>
      </c>
      <c r="I125" s="1" t="s">
        <v>21</v>
      </c>
      <c r="J125" s="1" t="s">
        <v>1868</v>
      </c>
      <c r="K125" s="2">
        <v>-68.839337</v>
      </c>
      <c r="L125" s="2">
        <v>-32.885734</v>
      </c>
    </row>
    <row r="126">
      <c r="A126" s="1">
        <v>241.0</v>
      </c>
      <c r="B126" s="1" t="s">
        <v>29</v>
      </c>
      <c r="C126" s="1" t="s">
        <v>1103</v>
      </c>
      <c r="D126" s="1" t="s">
        <v>1103</v>
      </c>
      <c r="E126" s="1" t="s">
        <v>1104</v>
      </c>
      <c r="F126" s="1" t="s">
        <v>1622</v>
      </c>
      <c r="G126" s="3" t="s">
        <v>1872</v>
      </c>
      <c r="H126" s="1" t="s">
        <v>1103</v>
      </c>
      <c r="I126" s="1" t="s">
        <v>21</v>
      </c>
      <c r="J126" s="1" t="s">
        <v>1873</v>
      </c>
      <c r="K126" s="2">
        <v>-68.8393279</v>
      </c>
      <c r="L126" s="2">
        <v>-32.8856721</v>
      </c>
    </row>
    <row r="127">
      <c r="A127" s="1">
        <v>243.0</v>
      </c>
      <c r="B127" s="1" t="s">
        <v>29</v>
      </c>
      <c r="C127" s="1" t="s">
        <v>1103</v>
      </c>
      <c r="D127" s="1" t="s">
        <v>1103</v>
      </c>
      <c r="E127" s="1" t="s">
        <v>1104</v>
      </c>
      <c r="F127" s="1" t="s">
        <v>1622</v>
      </c>
      <c r="G127" s="3" t="s">
        <v>1877</v>
      </c>
      <c r="H127" s="1" t="s">
        <v>1103</v>
      </c>
      <c r="I127" s="1" t="s">
        <v>21</v>
      </c>
      <c r="J127" s="1" t="s">
        <v>1878</v>
      </c>
      <c r="K127" s="2">
        <v>-68.839291</v>
      </c>
      <c r="L127" s="2">
        <v>-32.885546</v>
      </c>
    </row>
    <row r="128">
      <c r="A128" s="1">
        <v>246.0</v>
      </c>
      <c r="B128" s="1" t="s">
        <v>29</v>
      </c>
      <c r="C128" s="1" t="s">
        <v>1103</v>
      </c>
      <c r="D128" s="1" t="s">
        <v>1882</v>
      </c>
      <c r="E128" s="1" t="s">
        <v>1104</v>
      </c>
      <c r="F128" s="1" t="s">
        <v>1622</v>
      </c>
      <c r="G128" s="3" t="s">
        <v>1885</v>
      </c>
      <c r="H128" s="1" t="s">
        <v>1103</v>
      </c>
      <c r="I128" s="1" t="s">
        <v>21</v>
      </c>
      <c r="J128" s="1" t="s">
        <v>1887</v>
      </c>
      <c r="K128" s="2">
        <v>-68.839226</v>
      </c>
      <c r="L128" s="2">
        <v>-32.885282</v>
      </c>
    </row>
    <row r="129">
      <c r="A129" s="1">
        <v>250.0</v>
      </c>
      <c r="B129" s="1" t="s">
        <v>29</v>
      </c>
      <c r="C129" s="1" t="s">
        <v>1103</v>
      </c>
      <c r="D129" s="1" t="s">
        <v>1103</v>
      </c>
      <c r="E129" s="1" t="s">
        <v>1104</v>
      </c>
      <c r="F129" s="1" t="s">
        <v>1622</v>
      </c>
      <c r="G129" s="3" t="s">
        <v>1890</v>
      </c>
      <c r="H129" s="1" t="s">
        <v>1103</v>
      </c>
      <c r="I129" s="1" t="s">
        <v>21</v>
      </c>
      <c r="J129" s="1" t="s">
        <v>1891</v>
      </c>
      <c r="K129" s="2">
        <v>-68.8391257</v>
      </c>
      <c r="L129" s="2">
        <v>-32.8848613</v>
      </c>
    </row>
    <row r="130">
      <c r="A130" s="1">
        <v>251.0</v>
      </c>
      <c r="B130" s="1" t="s">
        <v>29</v>
      </c>
      <c r="C130" s="1" t="s">
        <v>1103</v>
      </c>
      <c r="D130" s="1" t="s">
        <v>1103</v>
      </c>
      <c r="E130" s="1" t="s">
        <v>1104</v>
      </c>
      <c r="F130" s="1" t="s">
        <v>1622</v>
      </c>
      <c r="G130" s="3" t="s">
        <v>1893</v>
      </c>
      <c r="H130" s="1" t="s">
        <v>1103</v>
      </c>
      <c r="I130" s="1" t="s">
        <v>21</v>
      </c>
      <c r="J130" s="1" t="s">
        <v>1896</v>
      </c>
      <c r="K130" s="2">
        <v>-68.83905969999999</v>
      </c>
      <c r="L130" s="2">
        <v>-32.8848077</v>
      </c>
    </row>
    <row r="131">
      <c r="A131" s="1">
        <v>252.0</v>
      </c>
      <c r="B131" s="1" t="s">
        <v>29</v>
      </c>
      <c r="C131" s="1" t="s">
        <v>1103</v>
      </c>
      <c r="D131" s="1" t="s">
        <v>1901</v>
      </c>
      <c r="E131" s="1" t="s">
        <v>1104</v>
      </c>
      <c r="F131" s="1" t="s">
        <v>1622</v>
      </c>
      <c r="G131" s="3" t="s">
        <v>1479</v>
      </c>
      <c r="H131" s="1" t="s">
        <v>1103</v>
      </c>
      <c r="I131" s="1" t="s">
        <v>21</v>
      </c>
      <c r="J131" s="1" t="s">
        <v>1904</v>
      </c>
      <c r="K131" s="2">
        <v>-68.83911429999999</v>
      </c>
      <c r="L131" s="2">
        <v>-32.8847352</v>
      </c>
    </row>
    <row r="132">
      <c r="A132" s="1">
        <v>258.0</v>
      </c>
      <c r="B132" s="1" t="s">
        <v>29</v>
      </c>
      <c r="C132" s="1" t="s">
        <v>1103</v>
      </c>
      <c r="D132" s="1" t="s">
        <v>1103</v>
      </c>
      <c r="E132" s="1" t="s">
        <v>1104</v>
      </c>
      <c r="F132" s="1" t="s">
        <v>1622</v>
      </c>
      <c r="G132" s="3" t="s">
        <v>1909</v>
      </c>
      <c r="H132" s="1" t="s">
        <v>1103</v>
      </c>
      <c r="I132" s="1" t="s">
        <v>21</v>
      </c>
      <c r="J132" s="1" t="s">
        <v>1911</v>
      </c>
      <c r="K132" s="2">
        <v>-68.8389643</v>
      </c>
      <c r="L132" s="2">
        <v>-32.8844097</v>
      </c>
    </row>
    <row r="133">
      <c r="A133" s="1">
        <v>259.0</v>
      </c>
      <c r="B133" s="1" t="s">
        <v>29</v>
      </c>
      <c r="C133" s="1" t="s">
        <v>1103</v>
      </c>
      <c r="D133" s="1" t="s">
        <v>1915</v>
      </c>
      <c r="E133" s="1" t="s">
        <v>1104</v>
      </c>
      <c r="F133" s="1" t="s">
        <v>1622</v>
      </c>
      <c r="G133" s="3" t="s">
        <v>1917</v>
      </c>
      <c r="H133" s="1" t="s">
        <v>1103</v>
      </c>
      <c r="I133" s="1" t="s">
        <v>21</v>
      </c>
      <c r="J133" s="1" t="s">
        <v>1920</v>
      </c>
      <c r="K133" s="2">
        <v>-68.83901519999999</v>
      </c>
      <c r="L133" s="2">
        <v>-32.8843118</v>
      </c>
    </row>
    <row r="134">
      <c r="A134" s="1">
        <v>260.0</v>
      </c>
      <c r="B134" s="1" t="s">
        <v>29</v>
      </c>
      <c r="C134" s="1" t="s">
        <v>1103</v>
      </c>
      <c r="D134" s="1" t="s">
        <v>1103</v>
      </c>
      <c r="E134" s="1" t="s">
        <v>1104</v>
      </c>
      <c r="F134" s="1" t="s">
        <v>1622</v>
      </c>
      <c r="G134" s="3" t="s">
        <v>1923</v>
      </c>
      <c r="H134" s="1" t="s">
        <v>1103</v>
      </c>
      <c r="I134" s="1" t="s">
        <v>21</v>
      </c>
      <c r="J134" s="1" t="s">
        <v>1924</v>
      </c>
      <c r="K134" s="2">
        <v>-68.83892759999999</v>
      </c>
      <c r="L134" s="2">
        <v>-32.8842083</v>
      </c>
    </row>
    <row r="135">
      <c r="A135" s="1">
        <v>283.0</v>
      </c>
      <c r="B135" s="1" t="s">
        <v>51</v>
      </c>
      <c r="C135" s="1" t="s">
        <v>1103</v>
      </c>
      <c r="D135" s="1" t="s">
        <v>1103</v>
      </c>
      <c r="E135" s="1" t="s">
        <v>1104</v>
      </c>
      <c r="F135" s="1" t="s">
        <v>1622</v>
      </c>
      <c r="G135" s="1" t="s">
        <v>1492</v>
      </c>
      <c r="H135" s="1" t="s">
        <v>1103</v>
      </c>
      <c r="I135" s="1" t="s">
        <v>21</v>
      </c>
      <c r="J135" s="1" t="s">
        <v>1928</v>
      </c>
      <c r="K135" s="2">
        <v>-68.84000449999999</v>
      </c>
      <c r="L135" s="2">
        <v>-32.890499</v>
      </c>
    </row>
    <row r="136">
      <c r="A136" s="1">
        <v>300.0</v>
      </c>
      <c r="B136" s="1" t="s">
        <v>51</v>
      </c>
      <c r="C136" s="1" t="s">
        <v>1103</v>
      </c>
      <c r="D136" s="1" t="s">
        <v>1103</v>
      </c>
      <c r="E136" s="1" t="s">
        <v>1104</v>
      </c>
      <c r="F136" s="1" t="s">
        <v>1622</v>
      </c>
      <c r="G136" s="1" t="s">
        <v>803</v>
      </c>
      <c r="H136" s="1" t="s">
        <v>1937</v>
      </c>
      <c r="I136" s="1" t="s">
        <v>21</v>
      </c>
      <c r="J136" s="1" t="s">
        <v>808</v>
      </c>
      <c r="K136" s="2">
        <v>-68.84000449999999</v>
      </c>
      <c r="L136" s="2">
        <v>-32.890499</v>
      </c>
    </row>
    <row r="137">
      <c r="A137" s="1">
        <v>312.0</v>
      </c>
      <c r="B137" s="1" t="s">
        <v>51</v>
      </c>
      <c r="C137" s="1" t="s">
        <v>1103</v>
      </c>
      <c r="D137" s="1" t="s">
        <v>1941</v>
      </c>
      <c r="E137" s="1" t="s">
        <v>1104</v>
      </c>
      <c r="F137" s="1" t="s">
        <v>1622</v>
      </c>
      <c r="G137" s="1" t="s">
        <v>1942</v>
      </c>
      <c r="H137" s="1" t="s">
        <v>1103</v>
      </c>
      <c r="I137" s="1" t="s">
        <v>21</v>
      </c>
      <c r="J137" s="1" t="s">
        <v>1943</v>
      </c>
      <c r="K137" s="2">
        <v>-68.84000449999999</v>
      </c>
      <c r="L137" s="2">
        <v>-32.890499</v>
      </c>
    </row>
    <row r="138">
      <c r="A138" s="1">
        <v>316.0</v>
      </c>
      <c r="B138" s="1" t="s">
        <v>51</v>
      </c>
      <c r="C138" s="1" t="s">
        <v>1103</v>
      </c>
      <c r="D138" s="1" t="s">
        <v>1103</v>
      </c>
      <c r="E138" s="1" t="s">
        <v>1104</v>
      </c>
      <c r="F138" s="1" t="s">
        <v>1622</v>
      </c>
      <c r="G138" s="1" t="s">
        <v>1944</v>
      </c>
      <c r="H138" s="1" t="s">
        <v>1103</v>
      </c>
      <c r="I138" s="1" t="s">
        <v>21</v>
      </c>
      <c r="J138" s="1" t="s">
        <v>1946</v>
      </c>
      <c r="K138" s="2">
        <v>-68.84000449999999</v>
      </c>
      <c r="L138" s="2">
        <v>-32.890499</v>
      </c>
    </row>
    <row r="139">
      <c r="A139" s="1">
        <v>317.0</v>
      </c>
      <c r="B139" s="1" t="s">
        <v>51</v>
      </c>
      <c r="C139" s="1" t="s">
        <v>1103</v>
      </c>
      <c r="D139" s="1" t="s">
        <v>1950</v>
      </c>
      <c r="E139" s="1" t="s">
        <v>1104</v>
      </c>
      <c r="F139" s="1" t="s">
        <v>1622</v>
      </c>
      <c r="G139" s="1" t="s">
        <v>1952</v>
      </c>
      <c r="H139" s="1" t="s">
        <v>1103</v>
      </c>
      <c r="I139" s="1" t="s">
        <v>21</v>
      </c>
      <c r="J139" s="1" t="s">
        <v>1953</v>
      </c>
      <c r="K139" s="2">
        <v>-68.84000449999999</v>
      </c>
      <c r="L139" s="2">
        <v>-32.890499</v>
      </c>
    </row>
    <row r="140">
      <c r="A140" s="1">
        <v>321.0</v>
      </c>
      <c r="B140" s="1" t="s">
        <v>51</v>
      </c>
      <c r="C140" s="1" t="s">
        <v>1103</v>
      </c>
      <c r="D140" s="1" t="s">
        <v>1103</v>
      </c>
      <c r="E140" s="1" t="s">
        <v>1104</v>
      </c>
      <c r="F140" s="1" t="s">
        <v>1622</v>
      </c>
      <c r="G140" s="1" t="s">
        <v>1958</v>
      </c>
      <c r="H140" s="1" t="s">
        <v>1103</v>
      </c>
      <c r="I140" s="1" t="s">
        <v>21</v>
      </c>
      <c r="J140" s="1" t="s">
        <v>1959</v>
      </c>
      <c r="K140" s="2">
        <v>-68.84000449999999</v>
      </c>
      <c r="L140" s="2">
        <v>-32.890499</v>
      </c>
    </row>
    <row r="141">
      <c r="A141" s="1">
        <v>323.0</v>
      </c>
      <c r="B141" s="1" t="s">
        <v>51</v>
      </c>
      <c r="C141" s="1" t="s">
        <v>1103</v>
      </c>
      <c r="D141" s="1" t="s">
        <v>1103</v>
      </c>
      <c r="E141" s="1" t="s">
        <v>1104</v>
      </c>
      <c r="F141" s="1" t="s">
        <v>1622</v>
      </c>
      <c r="G141" s="1" t="s">
        <v>1961</v>
      </c>
      <c r="H141" s="1" t="s">
        <v>1103</v>
      </c>
      <c r="I141" s="1" t="s">
        <v>21</v>
      </c>
      <c r="J141" s="1" t="s">
        <v>1963</v>
      </c>
      <c r="K141" s="2">
        <v>-68.84000449999999</v>
      </c>
      <c r="L141" s="2">
        <v>-32.890499</v>
      </c>
    </row>
    <row r="142">
      <c r="A142" s="1">
        <v>325.0</v>
      </c>
      <c r="B142" s="1" t="s">
        <v>51</v>
      </c>
      <c r="C142" s="1" t="s">
        <v>1103</v>
      </c>
      <c r="D142" s="1" t="s">
        <v>1103</v>
      </c>
      <c r="E142" s="1" t="s">
        <v>1104</v>
      </c>
      <c r="F142" s="1" t="s">
        <v>1622</v>
      </c>
      <c r="G142" s="1" t="s">
        <v>1966</v>
      </c>
      <c r="H142" s="1" t="s">
        <v>1103</v>
      </c>
      <c r="I142" s="1" t="s">
        <v>21</v>
      </c>
      <c r="J142" s="1" t="s">
        <v>1967</v>
      </c>
      <c r="K142" s="2">
        <v>-68.84000449999999</v>
      </c>
      <c r="L142" s="2">
        <v>-32.890499</v>
      </c>
    </row>
    <row r="143">
      <c r="A143" s="1">
        <v>329.0</v>
      </c>
      <c r="B143" s="1" t="s">
        <v>51</v>
      </c>
      <c r="C143" s="1" t="s">
        <v>1103</v>
      </c>
      <c r="D143" s="1" t="s">
        <v>1103</v>
      </c>
      <c r="E143" s="1" t="s">
        <v>1104</v>
      </c>
      <c r="F143" s="1" t="s">
        <v>1622</v>
      </c>
      <c r="G143" s="1" t="s">
        <v>1968</v>
      </c>
      <c r="H143" s="1" t="s">
        <v>1103</v>
      </c>
      <c r="I143" s="1" t="s">
        <v>21</v>
      </c>
      <c r="J143" s="1" t="s">
        <v>1969</v>
      </c>
      <c r="K143" s="2">
        <v>-68.84000449999999</v>
      </c>
      <c r="L143" s="2">
        <v>-32.890499</v>
      </c>
    </row>
    <row r="144">
      <c r="A144" s="1">
        <v>362.0</v>
      </c>
      <c r="B144" s="1" t="s">
        <v>24</v>
      </c>
      <c r="C144" s="1">
        <v>12.0</v>
      </c>
      <c r="D144" s="1" t="s">
        <v>620</v>
      </c>
      <c r="E144" s="1" t="s">
        <v>1104</v>
      </c>
      <c r="F144" s="1" t="s">
        <v>1622</v>
      </c>
      <c r="G144" s="1" t="s">
        <v>1973</v>
      </c>
      <c r="H144" s="1" t="s">
        <v>622</v>
      </c>
      <c r="I144" s="1" t="s">
        <v>21</v>
      </c>
      <c r="J144" s="1" t="s">
        <v>1974</v>
      </c>
      <c r="K144" s="2">
        <v>-68.8514525</v>
      </c>
      <c r="L144" s="2">
        <v>-32.8927968</v>
      </c>
    </row>
    <row r="145">
      <c r="A145" s="1">
        <v>368.0</v>
      </c>
      <c r="B145" s="1" t="s">
        <v>24</v>
      </c>
      <c r="C145" s="1">
        <v>13.0</v>
      </c>
      <c r="D145" s="1" t="s">
        <v>1976</v>
      </c>
      <c r="E145" s="1" t="s">
        <v>1104</v>
      </c>
      <c r="F145" s="1" t="s">
        <v>1622</v>
      </c>
      <c r="G145" s="1" t="s">
        <v>1977</v>
      </c>
      <c r="H145" s="1" t="s">
        <v>1978</v>
      </c>
      <c r="I145" s="1" t="s">
        <v>21</v>
      </c>
      <c r="J145" s="1" t="s">
        <v>1979</v>
      </c>
      <c r="K145" s="2">
        <v>-68.85253000000002</v>
      </c>
      <c r="L145" s="2">
        <v>-32.892584</v>
      </c>
    </row>
    <row r="146">
      <c r="A146" s="1">
        <v>401.0</v>
      </c>
      <c r="B146" s="1" t="s">
        <v>24</v>
      </c>
      <c r="C146" s="1">
        <v>0.0</v>
      </c>
      <c r="D146" s="1">
        <v>0.0</v>
      </c>
      <c r="E146" s="1" t="s">
        <v>1104</v>
      </c>
      <c r="F146" s="1" t="s">
        <v>1622</v>
      </c>
      <c r="G146" s="1" t="s">
        <v>1980</v>
      </c>
      <c r="H146" s="1">
        <v>0.0</v>
      </c>
      <c r="I146" s="1" t="s">
        <v>21</v>
      </c>
      <c r="J146" s="1" t="s">
        <v>1982</v>
      </c>
      <c r="K146" s="2">
        <v>-68.856855</v>
      </c>
      <c r="L146" s="2">
        <v>-32.89176</v>
      </c>
    </row>
    <row r="147">
      <c r="A147" s="1">
        <v>416.0</v>
      </c>
      <c r="B147" s="1" t="s">
        <v>24</v>
      </c>
      <c r="C147" s="1">
        <v>1.0</v>
      </c>
      <c r="D147" s="1">
        <v>0.0</v>
      </c>
      <c r="E147" s="1" t="s">
        <v>1104</v>
      </c>
      <c r="F147" s="1" t="s">
        <v>1622</v>
      </c>
      <c r="G147" s="1" t="s">
        <v>1986</v>
      </c>
      <c r="H147" s="1">
        <v>0.0</v>
      </c>
      <c r="I147" s="1" t="s">
        <v>21</v>
      </c>
      <c r="J147" s="1" t="s">
        <v>1987</v>
      </c>
      <c r="K147" s="2">
        <v>-68.8602179</v>
      </c>
      <c r="L147" s="2">
        <v>-32.8911736</v>
      </c>
    </row>
    <row r="148">
      <c r="A148" s="1">
        <v>419.0</v>
      </c>
      <c r="B148" s="1" t="s">
        <v>24</v>
      </c>
      <c r="C148" s="1">
        <v>16.0</v>
      </c>
      <c r="D148" s="1" t="s">
        <v>1988</v>
      </c>
      <c r="E148" s="1" t="s">
        <v>1104</v>
      </c>
      <c r="F148" s="1" t="s">
        <v>1622</v>
      </c>
      <c r="G148" s="1" t="s">
        <v>609</v>
      </c>
      <c r="H148" s="1" t="s">
        <v>1989</v>
      </c>
      <c r="I148" s="1" t="s">
        <v>21</v>
      </c>
      <c r="J148" s="1" t="s">
        <v>612</v>
      </c>
      <c r="K148" s="2">
        <v>-68.860854</v>
      </c>
      <c r="L148" s="2">
        <v>-32.8910611</v>
      </c>
    </row>
    <row r="149">
      <c r="A149" s="1">
        <v>422.0</v>
      </c>
      <c r="B149" s="1" t="s">
        <v>24</v>
      </c>
      <c r="C149" s="1">
        <v>1.0</v>
      </c>
      <c r="D149" s="1">
        <v>0.0</v>
      </c>
      <c r="E149" s="1" t="s">
        <v>1104</v>
      </c>
      <c r="F149" s="1" t="s">
        <v>1622</v>
      </c>
      <c r="G149" s="1" t="s">
        <v>616</v>
      </c>
      <c r="H149" s="1" t="s">
        <v>1001</v>
      </c>
      <c r="I149" s="1" t="s">
        <v>21</v>
      </c>
      <c r="J149" s="1" t="s">
        <v>619</v>
      </c>
      <c r="K149" s="2">
        <v>-68.86106389999999</v>
      </c>
      <c r="L149" s="2">
        <v>-32.8910383</v>
      </c>
    </row>
    <row r="150">
      <c r="A150" s="1">
        <v>429.0</v>
      </c>
      <c r="B150" s="1" t="s">
        <v>24</v>
      </c>
      <c r="C150" s="1">
        <v>16.0</v>
      </c>
      <c r="D150" s="1">
        <v>0.0</v>
      </c>
      <c r="E150" s="1" t="s">
        <v>1104</v>
      </c>
      <c r="F150" s="1" t="s">
        <v>1622</v>
      </c>
      <c r="G150" s="1" t="s">
        <v>1993</v>
      </c>
      <c r="H150" s="1" t="s">
        <v>1994</v>
      </c>
      <c r="I150" s="1" t="s">
        <v>21</v>
      </c>
      <c r="J150" s="1" t="s">
        <v>1995</v>
      </c>
      <c r="K150" s="2">
        <v>-68.8599979</v>
      </c>
      <c r="L150" s="2">
        <v>-32.8915686</v>
      </c>
    </row>
    <row r="151">
      <c r="A151" s="1">
        <v>436.0</v>
      </c>
      <c r="B151" s="1" t="s">
        <v>24</v>
      </c>
      <c r="C151" s="1">
        <v>2.0</v>
      </c>
      <c r="D151" s="1" t="s">
        <v>1997</v>
      </c>
      <c r="E151" s="1" t="s">
        <v>1104</v>
      </c>
      <c r="F151" s="1" t="s">
        <v>1622</v>
      </c>
      <c r="G151" s="1" t="s">
        <v>1999</v>
      </c>
      <c r="H151" s="1" t="s">
        <v>2001</v>
      </c>
      <c r="I151" s="1" t="s">
        <v>21</v>
      </c>
      <c r="J151" s="1" t="s">
        <v>2002</v>
      </c>
      <c r="K151" s="2">
        <v>-68.8587469</v>
      </c>
      <c r="L151" s="2">
        <v>-32.8918029</v>
      </c>
    </row>
    <row r="152">
      <c r="A152" s="1">
        <v>442.0</v>
      </c>
      <c r="B152" s="1" t="s">
        <v>24</v>
      </c>
      <c r="C152" s="1">
        <v>2.0</v>
      </c>
      <c r="D152" s="1" t="s">
        <v>2005</v>
      </c>
      <c r="E152" s="1" t="s">
        <v>1104</v>
      </c>
      <c r="F152" s="1" t="s">
        <v>1622</v>
      </c>
      <c r="G152" s="1" t="s">
        <v>2006</v>
      </c>
      <c r="H152" s="1" t="s">
        <v>2007</v>
      </c>
      <c r="I152" s="1" t="s">
        <v>21</v>
      </c>
      <c r="J152" s="1" t="s">
        <v>2008</v>
      </c>
      <c r="K152" s="2">
        <v>-68.8570129</v>
      </c>
      <c r="L152" s="2">
        <v>-32.8921257</v>
      </c>
    </row>
    <row r="153">
      <c r="A153" s="1">
        <v>443.0</v>
      </c>
      <c r="B153" s="1" t="s">
        <v>24</v>
      </c>
      <c r="C153" s="1">
        <v>15.0</v>
      </c>
      <c r="D153" s="1" t="s">
        <v>2005</v>
      </c>
      <c r="E153" s="1" t="s">
        <v>1104</v>
      </c>
      <c r="F153" s="1" t="s">
        <v>1622</v>
      </c>
      <c r="G153" s="1" t="s">
        <v>2009</v>
      </c>
      <c r="H153" s="1" t="s">
        <v>2010</v>
      </c>
      <c r="I153" s="1" t="s">
        <v>21</v>
      </c>
      <c r="J153" s="1" t="s">
        <v>2011</v>
      </c>
      <c r="K153" s="2">
        <v>-68.856595</v>
      </c>
      <c r="L153" s="2">
        <v>-32.892059</v>
      </c>
    </row>
    <row r="154">
      <c r="A154" s="1">
        <v>449.0</v>
      </c>
      <c r="B154" s="1" t="s">
        <v>24</v>
      </c>
      <c r="C154" s="1">
        <v>4.0</v>
      </c>
      <c r="D154" s="1">
        <v>0.0</v>
      </c>
      <c r="E154" s="1" t="s">
        <v>1104</v>
      </c>
      <c r="F154" s="1" t="s">
        <v>1622</v>
      </c>
      <c r="G154" s="1" t="s">
        <v>2014</v>
      </c>
      <c r="H154" s="1" t="s">
        <v>2015</v>
      </c>
      <c r="I154" s="1" t="s">
        <v>21</v>
      </c>
      <c r="J154" s="1" t="s">
        <v>2017</v>
      </c>
      <c r="K154" s="2">
        <v>-68.856118</v>
      </c>
      <c r="L154" s="2">
        <v>-32.892272</v>
      </c>
    </row>
    <row r="155">
      <c r="A155" s="1">
        <v>450.0</v>
      </c>
      <c r="B155" s="1" t="s">
        <v>24</v>
      </c>
      <c r="C155" s="1">
        <v>15.0</v>
      </c>
      <c r="D155" s="1" t="s">
        <v>2019</v>
      </c>
      <c r="E155" s="1" t="s">
        <v>1104</v>
      </c>
      <c r="F155" s="1" t="s">
        <v>1622</v>
      </c>
      <c r="G155" s="1" t="s">
        <v>2014</v>
      </c>
      <c r="H155" s="1" t="s">
        <v>2020</v>
      </c>
      <c r="I155" s="1" t="s">
        <v>21</v>
      </c>
      <c r="J155" s="1" t="s">
        <v>2017</v>
      </c>
      <c r="K155" s="2">
        <v>-68.856118</v>
      </c>
      <c r="L155" s="2">
        <v>-32.892272</v>
      </c>
    </row>
    <row r="156">
      <c r="A156" s="1">
        <v>451.0</v>
      </c>
      <c r="B156" s="1" t="s">
        <v>24</v>
      </c>
      <c r="C156" s="1">
        <v>15.0</v>
      </c>
      <c r="D156" s="1">
        <v>0.0</v>
      </c>
      <c r="E156" s="1" t="s">
        <v>1104</v>
      </c>
      <c r="F156" s="1" t="s">
        <v>1622</v>
      </c>
      <c r="G156" s="1" t="s">
        <v>2021</v>
      </c>
      <c r="H156" s="1" t="s">
        <v>978</v>
      </c>
      <c r="I156" s="1" t="s">
        <v>21</v>
      </c>
      <c r="J156" s="1" t="s">
        <v>2022</v>
      </c>
      <c r="K156" s="2">
        <v>-68.856009</v>
      </c>
      <c r="L156" s="2">
        <v>-32.892291</v>
      </c>
    </row>
    <row r="157">
      <c r="A157" s="1">
        <v>462.0</v>
      </c>
      <c r="B157" s="1" t="s">
        <v>24</v>
      </c>
      <c r="C157" s="1">
        <v>14.0</v>
      </c>
      <c r="D157" s="1" t="s">
        <v>2025</v>
      </c>
      <c r="E157" s="1" t="s">
        <v>1104</v>
      </c>
      <c r="F157" s="1" t="s">
        <v>1622</v>
      </c>
      <c r="G157" s="1" t="s">
        <v>2027</v>
      </c>
      <c r="H157" s="1" t="s">
        <v>2029</v>
      </c>
      <c r="I157" s="1" t="s">
        <v>21</v>
      </c>
      <c r="J157" s="1" t="s">
        <v>2030</v>
      </c>
      <c r="K157" s="2">
        <v>-68.8539452</v>
      </c>
      <c r="L157" s="2">
        <v>-32.8926384</v>
      </c>
    </row>
    <row r="158">
      <c r="A158" s="1">
        <v>468.0</v>
      </c>
      <c r="B158" s="1" t="s">
        <v>24</v>
      </c>
      <c r="C158" s="1">
        <v>3.0</v>
      </c>
      <c r="D158" s="1" t="s">
        <v>2031</v>
      </c>
      <c r="E158" s="1" t="s">
        <v>1104</v>
      </c>
      <c r="F158" s="1" t="s">
        <v>1622</v>
      </c>
      <c r="G158" s="1" t="s">
        <v>2032</v>
      </c>
      <c r="H158" s="1" t="s">
        <v>1591</v>
      </c>
      <c r="I158" s="1" t="s">
        <v>21</v>
      </c>
      <c r="J158" s="1" t="s">
        <v>2033</v>
      </c>
      <c r="K158" s="2">
        <v>-68.852796</v>
      </c>
      <c r="L158" s="2">
        <v>-32.892893</v>
      </c>
    </row>
    <row r="159">
      <c r="A159" s="1">
        <v>471.0</v>
      </c>
      <c r="B159" s="1" t="s">
        <v>24</v>
      </c>
      <c r="C159" s="1">
        <v>3.0</v>
      </c>
      <c r="D159" s="1" t="s">
        <v>2034</v>
      </c>
      <c r="E159" s="1" t="s">
        <v>1104</v>
      </c>
      <c r="F159" s="1" t="s">
        <v>1622</v>
      </c>
      <c r="G159" s="1" t="s">
        <v>2036</v>
      </c>
      <c r="H159" s="1" t="s">
        <v>2037</v>
      </c>
      <c r="I159" s="1" t="s">
        <v>21</v>
      </c>
      <c r="J159" s="1" t="s">
        <v>2039</v>
      </c>
      <c r="K159" s="2">
        <v>-68.85248299999999</v>
      </c>
      <c r="L159" s="2">
        <v>-32.8928965</v>
      </c>
    </row>
    <row r="160">
      <c r="A160" s="1">
        <v>475.0</v>
      </c>
      <c r="B160" s="1" t="s">
        <v>24</v>
      </c>
      <c r="C160" s="1">
        <v>14.0</v>
      </c>
      <c r="D160" s="1" t="s">
        <v>2042</v>
      </c>
      <c r="E160" s="1" t="s">
        <v>1104</v>
      </c>
      <c r="F160" s="1" t="s">
        <v>1622</v>
      </c>
      <c r="G160" s="1" t="s">
        <v>2043</v>
      </c>
      <c r="H160" s="1" t="s">
        <v>2044</v>
      </c>
      <c r="I160" s="1" t="s">
        <v>21</v>
      </c>
      <c r="J160" s="1" t="s">
        <v>2045</v>
      </c>
      <c r="K160" s="2">
        <v>-68.85203090000002</v>
      </c>
      <c r="L160" s="2">
        <v>-32.8929714</v>
      </c>
    </row>
    <row r="161">
      <c r="A161" s="1">
        <v>479.0</v>
      </c>
      <c r="B161" s="1" t="s">
        <v>24</v>
      </c>
      <c r="C161" s="1">
        <v>3.0</v>
      </c>
      <c r="D161" s="1" t="s">
        <v>2046</v>
      </c>
      <c r="E161" s="1" t="s">
        <v>1104</v>
      </c>
      <c r="F161" s="1" t="s">
        <v>1622</v>
      </c>
      <c r="G161" s="1" t="s">
        <v>2047</v>
      </c>
      <c r="H161" s="1" t="s">
        <v>2048</v>
      </c>
      <c r="I161" s="1" t="s">
        <v>21</v>
      </c>
      <c r="J161" s="1" t="s">
        <v>2049</v>
      </c>
      <c r="K161" s="2">
        <v>-68.851815</v>
      </c>
      <c r="L161" s="2">
        <v>-32.8931229</v>
      </c>
    </row>
    <row r="162">
      <c r="A162" s="1">
        <v>507.0</v>
      </c>
      <c r="B162" s="1" t="s">
        <v>109</v>
      </c>
      <c r="C162" s="1">
        <v>4.0</v>
      </c>
      <c r="D162" s="1" t="s">
        <v>2050</v>
      </c>
      <c r="E162" s="1" t="s">
        <v>1104</v>
      </c>
      <c r="F162" s="1" t="s">
        <v>1622</v>
      </c>
      <c r="G162" s="1" t="s">
        <v>1381</v>
      </c>
      <c r="H162" s="1" t="s">
        <v>2053</v>
      </c>
      <c r="I162" s="1" t="s">
        <v>21</v>
      </c>
      <c r="J162" s="1" t="s">
        <v>1383</v>
      </c>
      <c r="K162" s="2">
        <v>-68.838793</v>
      </c>
      <c r="L162" s="2">
        <v>-32.8888648</v>
      </c>
    </row>
    <row r="163">
      <c r="A163" s="1">
        <v>511.0</v>
      </c>
      <c r="B163" s="1" t="s">
        <v>109</v>
      </c>
      <c r="C163" s="1">
        <v>5.0</v>
      </c>
      <c r="D163" s="1" t="s">
        <v>306</v>
      </c>
      <c r="E163" s="1" t="s">
        <v>1104</v>
      </c>
      <c r="F163" s="1" t="s">
        <v>1622</v>
      </c>
      <c r="G163" s="1" t="s">
        <v>2056</v>
      </c>
      <c r="H163" s="1" t="s">
        <v>310</v>
      </c>
      <c r="I163" s="1" t="s">
        <v>21</v>
      </c>
      <c r="J163" s="1" t="s">
        <v>2057</v>
      </c>
      <c r="K163" s="2">
        <v>-68.8390132</v>
      </c>
      <c r="L163" s="2">
        <v>-32.8892684</v>
      </c>
    </row>
    <row r="164">
      <c r="A164" s="1">
        <v>521.0</v>
      </c>
      <c r="B164" s="1" t="s">
        <v>109</v>
      </c>
      <c r="C164" s="1">
        <v>4.0</v>
      </c>
      <c r="D164" s="1" t="s">
        <v>2058</v>
      </c>
      <c r="E164" s="1" t="s">
        <v>1104</v>
      </c>
      <c r="F164" s="1" t="s">
        <v>1622</v>
      </c>
      <c r="G164" s="1" t="s">
        <v>2059</v>
      </c>
      <c r="H164" s="1" t="s">
        <v>2060</v>
      </c>
      <c r="I164" s="1" t="s">
        <v>21</v>
      </c>
      <c r="J164" s="1" t="s">
        <v>2061</v>
      </c>
      <c r="K164" s="2">
        <v>-68.83879449999999</v>
      </c>
      <c r="L164" s="2">
        <v>-32.8883713</v>
      </c>
    </row>
    <row r="165">
      <c r="A165" s="1">
        <v>523.0</v>
      </c>
      <c r="B165" s="1" t="s">
        <v>109</v>
      </c>
      <c r="C165" s="1">
        <v>4.0</v>
      </c>
      <c r="D165" s="1" t="s">
        <v>669</v>
      </c>
      <c r="E165" s="1" t="s">
        <v>1104</v>
      </c>
      <c r="F165" s="1" t="s">
        <v>1622</v>
      </c>
      <c r="G165" s="1" t="s">
        <v>184</v>
      </c>
      <c r="H165" s="1" t="s">
        <v>670</v>
      </c>
      <c r="I165" s="1" t="s">
        <v>21</v>
      </c>
      <c r="J165" s="1" t="s">
        <v>186</v>
      </c>
      <c r="K165" s="2">
        <v>-68.838647</v>
      </c>
      <c r="L165" s="2">
        <v>-32.888427</v>
      </c>
    </row>
    <row r="166">
      <c r="A166" s="1">
        <v>529.0</v>
      </c>
      <c r="B166" s="1" t="s">
        <v>109</v>
      </c>
      <c r="C166" s="1">
        <v>5.0</v>
      </c>
      <c r="D166" s="1" t="s">
        <v>2066</v>
      </c>
      <c r="E166" s="1" t="s">
        <v>1104</v>
      </c>
      <c r="F166" s="1" t="s">
        <v>1622</v>
      </c>
      <c r="G166" s="1" t="s">
        <v>2067</v>
      </c>
      <c r="H166" s="1" t="s">
        <v>661</v>
      </c>
      <c r="I166" s="1" t="s">
        <v>21</v>
      </c>
      <c r="J166" s="1" t="s">
        <v>2068</v>
      </c>
      <c r="K166" s="2">
        <v>-68.8381869</v>
      </c>
      <c r="L166" s="2">
        <v>-32.886671</v>
      </c>
    </row>
    <row r="167">
      <c r="A167" s="1">
        <v>540.0</v>
      </c>
      <c r="B167" s="1" t="s">
        <v>109</v>
      </c>
      <c r="C167" s="1">
        <v>6.0</v>
      </c>
      <c r="D167" s="1">
        <v>0.0</v>
      </c>
      <c r="E167" s="1" t="s">
        <v>1104</v>
      </c>
      <c r="F167" s="1" t="s">
        <v>1622</v>
      </c>
      <c r="G167" s="1" t="s">
        <v>2069</v>
      </c>
      <c r="H167" s="1" t="s">
        <v>2070</v>
      </c>
      <c r="I167" s="1" t="s">
        <v>21</v>
      </c>
      <c r="J167" s="1" t="s">
        <v>2071</v>
      </c>
      <c r="K167" s="2">
        <v>-68.838357</v>
      </c>
      <c r="L167" s="2">
        <v>-32.887206</v>
      </c>
    </row>
    <row r="168">
      <c r="A168" s="1">
        <v>545.0</v>
      </c>
      <c r="B168" s="1" t="s">
        <v>109</v>
      </c>
      <c r="C168" s="1">
        <v>2.0</v>
      </c>
      <c r="D168" s="1" t="s">
        <v>495</v>
      </c>
      <c r="E168" s="1" t="s">
        <v>1104</v>
      </c>
      <c r="F168" s="1" t="s">
        <v>1622</v>
      </c>
      <c r="G168" s="1" t="s">
        <v>1321</v>
      </c>
      <c r="H168" s="1" t="s">
        <v>496</v>
      </c>
      <c r="I168" s="1" t="s">
        <v>21</v>
      </c>
      <c r="J168" s="1" t="s">
        <v>1324</v>
      </c>
      <c r="K168" s="2">
        <v>-68.837723</v>
      </c>
      <c r="L168" s="2">
        <v>-32.884737</v>
      </c>
    </row>
    <row r="169">
      <c r="A169" s="1">
        <v>552.0</v>
      </c>
      <c r="B169" s="1" t="s">
        <v>109</v>
      </c>
      <c r="C169" s="1">
        <v>3.0</v>
      </c>
      <c r="D169" s="1" t="s">
        <v>2075</v>
      </c>
      <c r="E169" s="1" t="s">
        <v>1104</v>
      </c>
      <c r="F169" s="1" t="s">
        <v>1622</v>
      </c>
      <c r="G169" s="1" t="s">
        <v>2076</v>
      </c>
      <c r="H169" s="1" t="s">
        <v>2077</v>
      </c>
      <c r="I169" s="1" t="s">
        <v>21</v>
      </c>
      <c r="J169" s="1" t="s">
        <v>2078</v>
      </c>
      <c r="K169" s="2">
        <v>-68.8378439</v>
      </c>
      <c r="L169" s="2">
        <v>-32.8853919</v>
      </c>
    </row>
    <row r="170">
      <c r="B170" s="1" t="s">
        <v>109</v>
      </c>
      <c r="D170" s="1" t="s">
        <v>2079</v>
      </c>
      <c r="E170" s="1" t="s">
        <v>1104</v>
      </c>
      <c r="F170" s="1" t="s">
        <v>1622</v>
      </c>
      <c r="G170" s="1" t="s">
        <v>2080</v>
      </c>
      <c r="H170" s="1" t="s">
        <v>2080</v>
      </c>
      <c r="I170" s="1" t="s">
        <v>21</v>
      </c>
      <c r="J170" s="1" t="s">
        <v>2081</v>
      </c>
      <c r="K170" s="2">
        <v>-68.837908</v>
      </c>
      <c r="L170" s="2">
        <v>-32.8856479</v>
      </c>
    </row>
    <row r="171">
      <c r="A171" s="1">
        <v>568.0</v>
      </c>
      <c r="B171" s="1" t="s">
        <v>109</v>
      </c>
      <c r="C171" s="1">
        <v>1.0</v>
      </c>
      <c r="D171" s="1" t="s">
        <v>2083</v>
      </c>
      <c r="E171" s="1" t="s">
        <v>1104</v>
      </c>
      <c r="F171" s="1" t="s">
        <v>1622</v>
      </c>
      <c r="G171" s="1" t="s">
        <v>2086</v>
      </c>
      <c r="H171" s="1" t="s">
        <v>2087</v>
      </c>
      <c r="I171" s="1" t="s">
        <v>21</v>
      </c>
      <c r="J171" s="1" t="s">
        <v>2089</v>
      </c>
      <c r="K171" s="2">
        <v>-68.83797369999999</v>
      </c>
      <c r="L171" s="2">
        <v>-32.8849795</v>
      </c>
    </row>
    <row r="172">
      <c r="A172" s="1">
        <v>569.0</v>
      </c>
      <c r="B172" s="1" t="s">
        <v>109</v>
      </c>
      <c r="C172" s="1">
        <v>1.0</v>
      </c>
      <c r="D172" s="1">
        <v>0.0</v>
      </c>
      <c r="E172" s="1" t="s">
        <v>1104</v>
      </c>
      <c r="F172" s="1" t="s">
        <v>1622</v>
      </c>
      <c r="G172" s="1" t="s">
        <v>2091</v>
      </c>
      <c r="H172" s="1" t="s">
        <v>2092</v>
      </c>
      <c r="I172" s="1" t="s">
        <v>21</v>
      </c>
      <c r="J172" s="1" t="s">
        <v>2093</v>
      </c>
      <c r="K172" s="2">
        <v>-68.8380679</v>
      </c>
      <c r="L172" s="2">
        <v>-32.88500520000001</v>
      </c>
    </row>
    <row r="173">
      <c r="A173" s="1">
        <v>570.0</v>
      </c>
      <c r="B173" s="1" t="s">
        <v>109</v>
      </c>
      <c r="C173" s="1">
        <v>1.0</v>
      </c>
      <c r="D173" s="1" t="s">
        <v>2094</v>
      </c>
      <c r="E173" s="1" t="s">
        <v>1104</v>
      </c>
      <c r="F173" s="1" t="s">
        <v>1622</v>
      </c>
      <c r="G173" s="1" t="s">
        <v>2095</v>
      </c>
      <c r="H173" s="1" t="s">
        <v>2096</v>
      </c>
      <c r="I173" s="1" t="s">
        <v>21</v>
      </c>
      <c r="J173" s="1" t="s">
        <v>2097</v>
      </c>
      <c r="K173" s="2">
        <v>-68.8382397</v>
      </c>
      <c r="L173" s="2">
        <v>-32.8850525</v>
      </c>
    </row>
    <row r="174">
      <c r="A174" s="1">
        <v>576.0</v>
      </c>
      <c r="B174" s="1" t="s">
        <v>109</v>
      </c>
      <c r="C174" s="1">
        <v>2.0</v>
      </c>
      <c r="D174" s="1" t="s">
        <v>2098</v>
      </c>
      <c r="E174" s="1" t="s">
        <v>1104</v>
      </c>
      <c r="F174" s="1" t="s">
        <v>1622</v>
      </c>
      <c r="G174" s="1" t="s">
        <v>123</v>
      </c>
      <c r="H174" s="1" t="s">
        <v>2100</v>
      </c>
      <c r="I174" s="1" t="s">
        <v>21</v>
      </c>
      <c r="J174" s="1" t="s">
        <v>127</v>
      </c>
      <c r="K174" s="2">
        <v>-68.83823699999999</v>
      </c>
      <c r="L174" s="2">
        <v>-32.885438</v>
      </c>
    </row>
    <row r="175">
      <c r="A175" s="1">
        <v>580.0</v>
      </c>
      <c r="B175" s="1" t="s">
        <v>109</v>
      </c>
      <c r="C175" s="1">
        <v>2.0</v>
      </c>
      <c r="D175" s="1" t="s">
        <v>2102</v>
      </c>
      <c r="E175" s="1" t="s">
        <v>1104</v>
      </c>
      <c r="F175" s="1" t="s">
        <v>1622</v>
      </c>
      <c r="G175" s="1" t="s">
        <v>2103</v>
      </c>
      <c r="H175" s="1" t="s">
        <v>2104</v>
      </c>
      <c r="I175" s="1" t="s">
        <v>21</v>
      </c>
      <c r="J175" s="1" t="s">
        <v>2105</v>
      </c>
      <c r="K175" s="2">
        <v>-68.83834639999999</v>
      </c>
      <c r="L175" s="2">
        <v>-32.8856466</v>
      </c>
    </row>
    <row r="176">
      <c r="A176" s="1">
        <v>586.0</v>
      </c>
      <c r="B176" s="1" t="s">
        <v>109</v>
      </c>
      <c r="C176" s="1">
        <v>12.0</v>
      </c>
      <c r="D176" s="1" t="s">
        <v>2106</v>
      </c>
      <c r="E176" s="1" t="s">
        <v>1104</v>
      </c>
      <c r="F176" s="1" t="s">
        <v>1622</v>
      </c>
      <c r="G176" s="1" t="s">
        <v>2107</v>
      </c>
      <c r="H176" s="1" t="s">
        <v>2108</v>
      </c>
      <c r="I176" s="1" t="s">
        <v>21</v>
      </c>
      <c r="J176" s="1" t="s">
        <v>2109</v>
      </c>
      <c r="K176" s="2">
        <v>-68.83806240000001</v>
      </c>
      <c r="L176" s="2">
        <v>-32.8852085</v>
      </c>
    </row>
    <row r="177">
      <c r="A177" s="1">
        <v>592.0</v>
      </c>
      <c r="B177" s="1" t="s">
        <v>109</v>
      </c>
      <c r="C177" s="1">
        <v>11.0</v>
      </c>
      <c r="D177" s="1" t="s">
        <v>2034</v>
      </c>
      <c r="E177" s="1" t="s">
        <v>1104</v>
      </c>
      <c r="F177" s="1" t="s">
        <v>1622</v>
      </c>
      <c r="G177" s="1" t="s">
        <v>2111</v>
      </c>
      <c r="H177" s="1" t="s">
        <v>2112</v>
      </c>
      <c r="I177" s="1" t="s">
        <v>21</v>
      </c>
      <c r="J177" s="1" t="s">
        <v>2114</v>
      </c>
      <c r="K177" s="2">
        <v>-68.83872989999999</v>
      </c>
      <c r="L177" s="2">
        <v>-32.8870636</v>
      </c>
    </row>
    <row r="178">
      <c r="A178" s="1">
        <v>593.0</v>
      </c>
      <c r="B178" s="1" t="s">
        <v>109</v>
      </c>
      <c r="C178" s="1">
        <v>11.0</v>
      </c>
      <c r="D178" s="1" t="s">
        <v>2110</v>
      </c>
      <c r="E178" s="1" t="s">
        <v>1104</v>
      </c>
      <c r="F178" s="1" t="s">
        <v>1622</v>
      </c>
      <c r="G178" s="1" t="s">
        <v>2125</v>
      </c>
      <c r="H178" s="1" t="s">
        <v>2113</v>
      </c>
      <c r="I178" s="1" t="s">
        <v>21</v>
      </c>
      <c r="J178" s="1" t="s">
        <v>2126</v>
      </c>
      <c r="K178" s="2">
        <v>-68.8386819</v>
      </c>
      <c r="L178" s="2">
        <v>-32.88707</v>
      </c>
    </row>
    <row r="179">
      <c r="A179" s="1">
        <v>606.0</v>
      </c>
      <c r="B179" s="1" t="s">
        <v>109</v>
      </c>
      <c r="C179" s="1">
        <v>10.0</v>
      </c>
      <c r="D179" s="1" t="s">
        <v>2127</v>
      </c>
      <c r="E179" s="1" t="s">
        <v>1104</v>
      </c>
      <c r="F179" s="1" t="s">
        <v>1622</v>
      </c>
      <c r="G179" s="1" t="s">
        <v>2128</v>
      </c>
      <c r="H179" s="1" t="s">
        <v>2129</v>
      </c>
      <c r="I179" s="1" t="s">
        <v>21</v>
      </c>
      <c r="J179" s="1" t="s">
        <v>2130</v>
      </c>
      <c r="K179" s="2">
        <v>-68.838827</v>
      </c>
      <c r="L179" s="2">
        <v>-32.887816</v>
      </c>
    </row>
    <row r="180">
      <c r="A180" s="1">
        <v>618.0</v>
      </c>
      <c r="B180" s="1" t="s">
        <v>109</v>
      </c>
      <c r="C180" s="1">
        <v>10.0</v>
      </c>
      <c r="D180" s="1">
        <v>0.0</v>
      </c>
      <c r="E180" s="1" t="s">
        <v>1104</v>
      </c>
      <c r="F180" s="1" t="s">
        <v>1622</v>
      </c>
      <c r="G180" s="1" t="s">
        <v>2131</v>
      </c>
      <c r="H180" s="1" t="s">
        <v>2132</v>
      </c>
      <c r="I180" s="1" t="s">
        <v>21</v>
      </c>
      <c r="J180" s="1" t="s">
        <v>2135</v>
      </c>
      <c r="K180" s="2">
        <v>-68.839218</v>
      </c>
      <c r="L180" s="2">
        <v>-32.8890529</v>
      </c>
    </row>
    <row r="181">
      <c r="A181" s="1">
        <v>634.0</v>
      </c>
      <c r="B181" s="1" t="s">
        <v>109</v>
      </c>
      <c r="C181" s="1">
        <v>2.0</v>
      </c>
      <c r="D181" s="1" t="s">
        <v>2138</v>
      </c>
      <c r="E181" s="1" t="s">
        <v>1104</v>
      </c>
      <c r="F181" s="1" t="s">
        <v>1622</v>
      </c>
      <c r="G181" s="1" t="s">
        <v>2139</v>
      </c>
      <c r="H181" s="1" t="s">
        <v>2140</v>
      </c>
      <c r="I181" s="1" t="s">
        <v>21</v>
      </c>
      <c r="J181" s="1" t="s">
        <v>2141</v>
      </c>
      <c r="K181" s="2">
        <v>-68.839693</v>
      </c>
      <c r="L181" s="2">
        <v>-32.890999</v>
      </c>
    </row>
    <row r="182">
      <c r="A182" s="1">
        <v>660.0</v>
      </c>
      <c r="B182" s="1" t="s">
        <v>36</v>
      </c>
      <c r="C182" s="1">
        <v>11.0</v>
      </c>
      <c r="D182" s="1" t="s">
        <v>2142</v>
      </c>
      <c r="E182" s="1" t="s">
        <v>1104</v>
      </c>
      <c r="F182" s="1" t="s">
        <v>1622</v>
      </c>
      <c r="G182" s="1" t="s">
        <v>2143</v>
      </c>
      <c r="H182" s="1" t="s">
        <v>2144</v>
      </c>
      <c r="I182" s="1" t="s">
        <v>21</v>
      </c>
      <c r="J182" s="1" t="s">
        <v>2145</v>
      </c>
      <c r="K182" s="2">
        <v>-68.837583</v>
      </c>
      <c r="L182" s="2">
        <v>-32.884324</v>
      </c>
    </row>
    <row r="183">
      <c r="A183" s="1">
        <v>663.0</v>
      </c>
      <c r="B183" s="1" t="s">
        <v>36</v>
      </c>
      <c r="C183" s="1">
        <v>12.0</v>
      </c>
      <c r="D183" s="1" t="s">
        <v>2155</v>
      </c>
      <c r="E183" s="1" t="s">
        <v>1104</v>
      </c>
      <c r="F183" s="1" t="s">
        <v>1622</v>
      </c>
      <c r="G183" s="1" t="s">
        <v>1136</v>
      </c>
      <c r="H183" s="1" t="s">
        <v>2157</v>
      </c>
      <c r="I183" s="1" t="s">
        <v>21</v>
      </c>
      <c r="J183" s="1" t="s">
        <v>1139</v>
      </c>
      <c r="K183" s="2">
        <v>-68.837564</v>
      </c>
      <c r="L183" s="2">
        <v>-32.884205</v>
      </c>
    </row>
    <row r="184">
      <c r="A184" s="1">
        <v>755.0</v>
      </c>
      <c r="B184" s="1" t="s">
        <v>36</v>
      </c>
      <c r="C184" s="1">
        <v>16.0</v>
      </c>
      <c r="D184" s="1" t="s">
        <v>2163</v>
      </c>
      <c r="E184" s="1" t="s">
        <v>1104</v>
      </c>
      <c r="F184" s="1" t="s">
        <v>1622</v>
      </c>
      <c r="G184" s="1" t="s">
        <v>2165</v>
      </c>
      <c r="H184" s="1" t="s">
        <v>2166</v>
      </c>
      <c r="I184" s="1" t="s">
        <v>21</v>
      </c>
      <c r="J184" s="1" t="s">
        <v>2167</v>
      </c>
      <c r="K184" s="2">
        <v>-68.8373632</v>
      </c>
      <c r="L184" s="2">
        <v>-32.882117</v>
      </c>
    </row>
    <row r="185">
      <c r="A185" s="1">
        <v>774.0</v>
      </c>
      <c r="B185" s="1" t="s">
        <v>36</v>
      </c>
      <c r="C185" s="1">
        <v>15.0</v>
      </c>
      <c r="D185" s="1" t="s">
        <v>2168</v>
      </c>
      <c r="E185" s="1" t="s">
        <v>1104</v>
      </c>
      <c r="F185" s="1" t="s">
        <v>1622</v>
      </c>
      <c r="G185" s="1" t="s">
        <v>2169</v>
      </c>
      <c r="H185" s="1" t="s">
        <v>2170</v>
      </c>
      <c r="I185" s="1" t="s">
        <v>21</v>
      </c>
      <c r="J185" s="1" t="s">
        <v>2171</v>
      </c>
      <c r="K185" s="2">
        <v>-68.8377563</v>
      </c>
      <c r="L185" s="2">
        <v>-32.8834076</v>
      </c>
    </row>
    <row r="186">
      <c r="A186" s="1">
        <v>784.0</v>
      </c>
      <c r="B186" s="1" t="s">
        <v>55</v>
      </c>
      <c r="C186" s="1">
        <v>6.0</v>
      </c>
      <c r="D186" s="1" t="s">
        <v>2175</v>
      </c>
      <c r="E186" s="1" t="s">
        <v>1104</v>
      </c>
      <c r="F186" s="1" t="s">
        <v>1622</v>
      </c>
      <c r="G186" s="1" t="s">
        <v>2176</v>
      </c>
      <c r="H186" s="1" t="s">
        <v>156</v>
      </c>
      <c r="I186" s="1" t="s">
        <v>21</v>
      </c>
      <c r="J186" s="1" t="s">
        <v>2178</v>
      </c>
      <c r="K186" s="2">
        <v>-68.838589</v>
      </c>
      <c r="L186" s="2">
        <v>-32.88612</v>
      </c>
    </row>
    <row r="187">
      <c r="A187" s="1">
        <v>785.0</v>
      </c>
      <c r="B187" s="1" t="s">
        <v>55</v>
      </c>
      <c r="C187" s="1">
        <v>6.0</v>
      </c>
      <c r="D187" s="1" t="s">
        <v>2034</v>
      </c>
      <c r="E187" s="1" t="s">
        <v>1104</v>
      </c>
      <c r="F187" s="1" t="s">
        <v>1622</v>
      </c>
      <c r="G187" s="1" t="s">
        <v>2179</v>
      </c>
      <c r="H187" s="1" t="s">
        <v>2180</v>
      </c>
      <c r="I187" s="1" t="s">
        <v>21</v>
      </c>
      <c r="J187" s="1" t="s">
        <v>2181</v>
      </c>
      <c r="K187" s="2">
        <v>-68.83885409999999</v>
      </c>
      <c r="L187" s="2">
        <v>-32.8860876</v>
      </c>
    </row>
    <row r="188">
      <c r="A188" s="1">
        <v>787.0</v>
      </c>
      <c r="B188" s="1" t="s">
        <v>55</v>
      </c>
      <c r="C188" s="1">
        <v>6.0</v>
      </c>
      <c r="D188" s="1" t="s">
        <v>2182</v>
      </c>
      <c r="E188" s="1" t="s">
        <v>1104</v>
      </c>
      <c r="F188" s="1" t="s">
        <v>1622</v>
      </c>
      <c r="G188" s="1" t="s">
        <v>1365</v>
      </c>
      <c r="H188" s="1" t="s">
        <v>2183</v>
      </c>
      <c r="I188" s="1" t="s">
        <v>21</v>
      </c>
      <c r="J188" s="1" t="s">
        <v>1658</v>
      </c>
      <c r="K188" s="2">
        <v>-68.838657</v>
      </c>
      <c r="L188" s="2">
        <v>-32.8860729</v>
      </c>
    </row>
    <row r="189">
      <c r="A189" s="1">
        <v>788.0</v>
      </c>
      <c r="B189" s="1" t="s">
        <v>55</v>
      </c>
      <c r="C189" s="1">
        <v>6.0</v>
      </c>
      <c r="D189" s="1" t="s">
        <v>2188</v>
      </c>
      <c r="E189" s="1" t="s">
        <v>1104</v>
      </c>
      <c r="F189" s="1" t="s">
        <v>1622</v>
      </c>
      <c r="G189" s="1" t="s">
        <v>2191</v>
      </c>
      <c r="H189" s="1" t="s">
        <v>2193</v>
      </c>
      <c r="I189" s="1" t="s">
        <v>21</v>
      </c>
      <c r="J189" s="1" t="s">
        <v>2194</v>
      </c>
      <c r="K189" s="2">
        <v>-68.83888999999999</v>
      </c>
      <c r="L189" s="2">
        <v>-32.886028</v>
      </c>
    </row>
    <row r="190">
      <c r="A190" s="1">
        <v>793.0</v>
      </c>
      <c r="B190" s="1" t="s">
        <v>55</v>
      </c>
      <c r="C190" s="1">
        <v>7.0</v>
      </c>
      <c r="D190" s="1">
        <v>0.0</v>
      </c>
      <c r="E190" s="1" t="s">
        <v>1104</v>
      </c>
      <c r="F190" s="1" t="s">
        <v>1622</v>
      </c>
      <c r="G190" s="1" t="s">
        <v>198</v>
      </c>
      <c r="H190" s="3" t="s">
        <v>2196</v>
      </c>
      <c r="I190" s="1" t="s">
        <v>21</v>
      </c>
      <c r="J190" s="1" t="s">
        <v>201</v>
      </c>
      <c r="K190" s="2">
        <v>-68.839017</v>
      </c>
      <c r="L190" s="2">
        <v>-32.885998</v>
      </c>
    </row>
    <row r="191">
      <c r="A191" s="1">
        <v>801.0</v>
      </c>
      <c r="B191" s="1" t="s">
        <v>55</v>
      </c>
      <c r="C191" s="1">
        <v>8.0</v>
      </c>
      <c r="D191" s="1" t="s">
        <v>2200</v>
      </c>
      <c r="E191" s="1" t="s">
        <v>1104</v>
      </c>
      <c r="F191" s="1" t="s">
        <v>1622</v>
      </c>
      <c r="G191" s="1" t="s">
        <v>1443</v>
      </c>
      <c r="H191" s="3" t="s">
        <v>1528</v>
      </c>
      <c r="I191" s="1" t="s">
        <v>21</v>
      </c>
      <c r="J191" s="1" t="s">
        <v>1445</v>
      </c>
      <c r="K191" s="2">
        <v>-68.8396269</v>
      </c>
      <c r="L191" s="2">
        <v>-32.8858759</v>
      </c>
    </row>
    <row r="192">
      <c r="A192" s="1">
        <v>809.0</v>
      </c>
      <c r="B192" s="1" t="s">
        <v>55</v>
      </c>
      <c r="C192" s="1">
        <v>9.0</v>
      </c>
      <c r="D192" s="1" t="s">
        <v>2206</v>
      </c>
      <c r="E192" s="1" t="s">
        <v>1104</v>
      </c>
      <c r="F192" s="1" t="s">
        <v>1622</v>
      </c>
      <c r="G192" s="1" t="s">
        <v>2207</v>
      </c>
      <c r="H192" s="3" t="s">
        <v>2208</v>
      </c>
      <c r="I192" s="1" t="s">
        <v>21</v>
      </c>
      <c r="J192" s="1" t="s">
        <v>2209</v>
      </c>
      <c r="K192" s="2">
        <v>-68.840266</v>
      </c>
      <c r="L192" s="2">
        <v>-32.885759</v>
      </c>
    </row>
    <row r="193">
      <c r="A193" s="1">
        <v>810.0</v>
      </c>
      <c r="B193" s="1" t="s">
        <v>55</v>
      </c>
      <c r="C193" s="1">
        <v>9.0</v>
      </c>
      <c r="D193" s="1" t="s">
        <v>2210</v>
      </c>
      <c r="E193" s="1" t="s">
        <v>1104</v>
      </c>
      <c r="F193" s="1" t="s">
        <v>1622</v>
      </c>
      <c r="G193" s="1" t="s">
        <v>2211</v>
      </c>
      <c r="H193" s="3" t="s">
        <v>2214</v>
      </c>
      <c r="I193" s="1" t="s">
        <v>21</v>
      </c>
      <c r="J193" s="1" t="s">
        <v>2215</v>
      </c>
      <c r="K193" s="2">
        <v>-68.8405681</v>
      </c>
      <c r="L193" s="2">
        <v>-32.8857621</v>
      </c>
    </row>
    <row r="194">
      <c r="A194" s="1">
        <v>817.0</v>
      </c>
      <c r="B194" s="1" t="s">
        <v>55</v>
      </c>
      <c r="C194" s="1">
        <v>10.0</v>
      </c>
      <c r="D194" s="1" t="s">
        <v>2221</v>
      </c>
      <c r="E194" s="1" t="s">
        <v>1104</v>
      </c>
      <c r="F194" s="1" t="s">
        <v>1622</v>
      </c>
      <c r="G194" s="1" t="s">
        <v>2223</v>
      </c>
      <c r="H194" s="1" t="s">
        <v>2224</v>
      </c>
      <c r="I194" s="1" t="s">
        <v>21</v>
      </c>
      <c r="J194" s="1" t="s">
        <v>2225</v>
      </c>
      <c r="K194" s="2">
        <v>-68.841261</v>
      </c>
      <c r="L194" s="2">
        <v>-32.885557</v>
      </c>
    </row>
    <row r="195">
      <c r="A195" s="1">
        <v>820.0</v>
      </c>
      <c r="B195" s="1" t="s">
        <v>55</v>
      </c>
      <c r="C195" s="1">
        <v>11.0</v>
      </c>
      <c r="D195" s="1" t="s">
        <v>2226</v>
      </c>
      <c r="E195" s="1" t="s">
        <v>1104</v>
      </c>
      <c r="F195" s="1" t="s">
        <v>1622</v>
      </c>
      <c r="G195" s="1" t="s">
        <v>2227</v>
      </c>
      <c r="H195" s="1" t="s">
        <v>2228</v>
      </c>
      <c r="I195" s="1" t="s">
        <v>21</v>
      </c>
      <c r="J195" s="1" t="s">
        <v>2229</v>
      </c>
      <c r="K195" s="2">
        <v>-68.841088</v>
      </c>
      <c r="L195" s="2">
        <v>-32.88559</v>
      </c>
    </row>
    <row r="196">
      <c r="A196" s="1">
        <v>852.0</v>
      </c>
      <c r="B196" s="1" t="s">
        <v>55</v>
      </c>
      <c r="C196" s="1">
        <v>2.0</v>
      </c>
      <c r="D196" s="1" t="s">
        <v>1300</v>
      </c>
      <c r="E196" s="1" t="s">
        <v>1104</v>
      </c>
      <c r="F196" s="1" t="s">
        <v>1622</v>
      </c>
      <c r="G196" s="1" t="s">
        <v>2233</v>
      </c>
      <c r="H196" s="1" t="s">
        <v>1530</v>
      </c>
      <c r="I196" s="1" t="s">
        <v>21</v>
      </c>
      <c r="J196" s="1" t="s">
        <v>2237</v>
      </c>
      <c r="K196" s="2">
        <v>-68.844216</v>
      </c>
      <c r="L196" s="2">
        <v>-32.8850443</v>
      </c>
    </row>
    <row r="197">
      <c r="A197" s="1">
        <v>875.0</v>
      </c>
      <c r="B197" s="1" t="s">
        <v>55</v>
      </c>
      <c r="C197" s="1">
        <v>8.0</v>
      </c>
      <c r="D197" s="1">
        <v>0.0</v>
      </c>
      <c r="E197" s="1" t="s">
        <v>1104</v>
      </c>
      <c r="F197" s="1" t="s">
        <v>1622</v>
      </c>
      <c r="G197" s="1" t="s">
        <v>963</v>
      </c>
      <c r="H197" s="1" t="s">
        <v>532</v>
      </c>
      <c r="I197" s="1" t="s">
        <v>21</v>
      </c>
      <c r="J197" s="1" t="s">
        <v>966</v>
      </c>
      <c r="K197" s="2">
        <v>-68.8466011</v>
      </c>
      <c r="L197" s="2">
        <v>-32.8846316</v>
      </c>
    </row>
    <row r="198">
      <c r="A198" s="1">
        <v>881.0</v>
      </c>
      <c r="B198" s="1" t="s">
        <v>55</v>
      </c>
      <c r="C198" s="1">
        <v>12.0</v>
      </c>
      <c r="D198" s="1" t="s">
        <v>2240</v>
      </c>
      <c r="E198" s="1" t="s">
        <v>1104</v>
      </c>
      <c r="F198" s="1" t="s">
        <v>1622</v>
      </c>
      <c r="G198" s="1" t="s">
        <v>244</v>
      </c>
      <c r="H198" s="3" t="s">
        <v>1850</v>
      </c>
      <c r="I198" s="1" t="s">
        <v>21</v>
      </c>
      <c r="J198" s="1" t="s">
        <v>247</v>
      </c>
      <c r="K198" s="2">
        <v>-68.8470579</v>
      </c>
      <c r="L198" s="2">
        <v>-32.8849279</v>
      </c>
    </row>
    <row r="199">
      <c r="A199" s="1">
        <v>886.0</v>
      </c>
      <c r="B199" s="1" t="s">
        <v>55</v>
      </c>
      <c r="C199" s="1">
        <v>9.0</v>
      </c>
      <c r="D199" s="1" t="s">
        <v>2245</v>
      </c>
      <c r="E199" s="1" t="s">
        <v>1104</v>
      </c>
      <c r="F199" s="1" t="s">
        <v>1622</v>
      </c>
      <c r="G199" s="1" t="s">
        <v>2246</v>
      </c>
      <c r="H199" s="1" t="s">
        <v>2247</v>
      </c>
      <c r="I199" s="1" t="s">
        <v>21</v>
      </c>
      <c r="J199" s="1" t="s">
        <v>2248</v>
      </c>
      <c r="K199" s="2">
        <v>-68.8470579</v>
      </c>
      <c r="L199" s="2">
        <v>-32.8849279</v>
      </c>
    </row>
    <row r="200">
      <c r="A200" s="1">
        <v>893.0</v>
      </c>
      <c r="B200" s="1" t="s">
        <v>55</v>
      </c>
      <c r="C200" s="1">
        <v>7.0</v>
      </c>
      <c r="D200" s="1" t="s">
        <v>2252</v>
      </c>
      <c r="E200" s="1" t="s">
        <v>1104</v>
      </c>
      <c r="F200" s="1" t="s">
        <v>1622</v>
      </c>
      <c r="G200" s="1" t="s">
        <v>2253</v>
      </c>
      <c r="H200" s="1" t="s">
        <v>2255</v>
      </c>
      <c r="I200" s="1" t="s">
        <v>21</v>
      </c>
      <c r="J200" s="1" t="s">
        <v>2256</v>
      </c>
      <c r="K200" s="2">
        <v>-68.845494</v>
      </c>
      <c r="L200" s="2">
        <v>-32.88517900000001</v>
      </c>
    </row>
    <row r="201">
      <c r="A201" s="1">
        <v>904.0</v>
      </c>
      <c r="B201" s="1" t="s">
        <v>55</v>
      </c>
      <c r="C201" s="1">
        <v>16.0</v>
      </c>
      <c r="D201" s="1">
        <v>0.0</v>
      </c>
      <c r="E201" s="1" t="s">
        <v>1104</v>
      </c>
      <c r="F201" s="1" t="s">
        <v>1622</v>
      </c>
      <c r="G201" s="1" t="s">
        <v>2258</v>
      </c>
      <c r="H201" s="1" t="s">
        <v>2260</v>
      </c>
      <c r="I201" s="1" t="s">
        <v>21</v>
      </c>
      <c r="J201" s="1" t="s">
        <v>2261</v>
      </c>
      <c r="K201" s="2">
        <v>-68.8435892</v>
      </c>
      <c r="L201" s="2">
        <v>-32.885456</v>
      </c>
    </row>
    <row r="202">
      <c r="A202" s="1">
        <v>915.0</v>
      </c>
      <c r="B202" s="1" t="s">
        <v>55</v>
      </c>
      <c r="C202" s="1">
        <v>15.0</v>
      </c>
      <c r="D202" s="1" t="s">
        <v>2264</v>
      </c>
      <c r="E202" s="1" t="s">
        <v>1104</v>
      </c>
      <c r="F202" s="1" t="s">
        <v>1622</v>
      </c>
      <c r="G202" s="1" t="s">
        <v>2265</v>
      </c>
      <c r="H202" s="3" t="s">
        <v>2266</v>
      </c>
      <c r="I202" s="1" t="s">
        <v>21</v>
      </c>
      <c r="J202" s="1" t="s">
        <v>2268</v>
      </c>
      <c r="K202" s="2">
        <v>-68.84241</v>
      </c>
      <c r="L202" s="2">
        <v>-32.8854839</v>
      </c>
    </row>
    <row r="203">
      <c r="A203" s="1">
        <v>918.0</v>
      </c>
      <c r="B203" s="1" t="s">
        <v>55</v>
      </c>
      <c r="C203" s="1">
        <v>16.0</v>
      </c>
      <c r="D203" s="1" t="s">
        <v>2271</v>
      </c>
      <c r="E203" s="1" t="s">
        <v>1104</v>
      </c>
      <c r="F203" s="1" t="s">
        <v>1622</v>
      </c>
      <c r="G203" s="1" t="s">
        <v>2277</v>
      </c>
      <c r="H203" s="3" t="s">
        <v>1893</v>
      </c>
      <c r="I203" s="1" t="s">
        <v>21</v>
      </c>
      <c r="J203" s="1" t="s">
        <v>2278</v>
      </c>
      <c r="K203" s="2">
        <v>-68.8427751</v>
      </c>
      <c r="L203" s="2">
        <v>-32.8856235</v>
      </c>
    </row>
    <row r="204">
      <c r="A204" s="1">
        <v>921.0</v>
      </c>
      <c r="B204" s="1" t="s">
        <v>55</v>
      </c>
      <c r="C204" s="1">
        <v>16.0</v>
      </c>
      <c r="D204" s="1" t="s">
        <v>1059</v>
      </c>
      <c r="E204" s="1" t="s">
        <v>1104</v>
      </c>
      <c r="F204" s="1" t="s">
        <v>1622</v>
      </c>
      <c r="G204" s="1" t="s">
        <v>2279</v>
      </c>
      <c r="H204" s="3" t="s">
        <v>1067</v>
      </c>
      <c r="I204" s="1" t="s">
        <v>21</v>
      </c>
      <c r="J204" s="1" t="s">
        <v>2281</v>
      </c>
      <c r="K204" s="2">
        <v>-68.842854</v>
      </c>
      <c r="L204" s="2">
        <v>-32.885629</v>
      </c>
    </row>
    <row r="205">
      <c r="A205" s="1">
        <v>932.0</v>
      </c>
      <c r="B205" s="1" t="s">
        <v>55</v>
      </c>
      <c r="C205" s="1">
        <v>11.0</v>
      </c>
      <c r="D205" s="1" t="s">
        <v>2283</v>
      </c>
      <c r="E205" s="1" t="s">
        <v>1104</v>
      </c>
      <c r="F205" s="1" t="s">
        <v>1622</v>
      </c>
      <c r="G205" s="1" t="s">
        <v>2285</v>
      </c>
      <c r="H205" s="3" t="s">
        <v>1824</v>
      </c>
      <c r="I205" s="1" t="s">
        <v>21</v>
      </c>
      <c r="J205" s="1" t="s">
        <v>2286</v>
      </c>
      <c r="K205" s="2">
        <v>-68.84175809999999</v>
      </c>
      <c r="L205" s="2">
        <v>-32.8858206</v>
      </c>
    </row>
    <row r="206">
      <c r="A206" s="1">
        <v>933.0</v>
      </c>
      <c r="B206" s="1" t="s">
        <v>55</v>
      </c>
      <c r="C206" s="1">
        <v>14.0</v>
      </c>
      <c r="D206" s="1" t="s">
        <v>2287</v>
      </c>
      <c r="E206" s="1" t="s">
        <v>1104</v>
      </c>
      <c r="F206" s="1" t="s">
        <v>1622</v>
      </c>
      <c r="G206" s="1" t="s">
        <v>2288</v>
      </c>
      <c r="H206" s="3" t="s">
        <v>2289</v>
      </c>
      <c r="I206" s="1" t="s">
        <v>21</v>
      </c>
      <c r="J206" s="1" t="s">
        <v>2290</v>
      </c>
      <c r="K206" s="2">
        <v>-68.8418087</v>
      </c>
      <c r="L206" s="2">
        <v>-32.8857518</v>
      </c>
    </row>
    <row r="207">
      <c r="A207" s="1">
        <v>943.0</v>
      </c>
      <c r="B207" s="1" t="s">
        <v>55</v>
      </c>
      <c r="C207" s="1">
        <v>9.0</v>
      </c>
      <c r="D207" s="1">
        <v>0.0</v>
      </c>
      <c r="E207" s="1" t="s">
        <v>1104</v>
      </c>
      <c r="F207" s="1" t="s">
        <v>1622</v>
      </c>
      <c r="G207" s="1" t="s">
        <v>2293</v>
      </c>
      <c r="H207" s="3" t="s">
        <v>2295</v>
      </c>
      <c r="I207" s="1" t="s">
        <v>21</v>
      </c>
      <c r="J207" s="1" t="s">
        <v>2296</v>
      </c>
      <c r="K207" s="2">
        <v>-68.8404429</v>
      </c>
      <c r="L207" s="2">
        <v>-32.886051</v>
      </c>
    </row>
    <row r="208">
      <c r="A208" s="1">
        <v>944.0</v>
      </c>
      <c r="B208" s="1" t="s">
        <v>55</v>
      </c>
      <c r="C208" s="1">
        <v>9.0</v>
      </c>
      <c r="D208" s="1">
        <v>0.0</v>
      </c>
      <c r="E208" s="1" t="s">
        <v>1104</v>
      </c>
      <c r="F208" s="1" t="s">
        <v>1622</v>
      </c>
      <c r="G208" s="1" t="s">
        <v>2298</v>
      </c>
      <c r="H208" s="3" t="s">
        <v>1303</v>
      </c>
      <c r="I208" s="1" t="s">
        <v>21</v>
      </c>
      <c r="J208" s="1" t="s">
        <v>2300</v>
      </c>
      <c r="K208" s="2">
        <v>-68.8405389</v>
      </c>
      <c r="L208" s="2">
        <v>-32.88599689999999</v>
      </c>
    </row>
    <row r="209">
      <c r="A209" s="1">
        <v>945.0</v>
      </c>
      <c r="B209" s="1" t="s">
        <v>55</v>
      </c>
      <c r="C209" s="1">
        <v>9.0</v>
      </c>
      <c r="D209" s="1">
        <v>0.0</v>
      </c>
      <c r="E209" s="1" t="s">
        <v>1104</v>
      </c>
      <c r="F209" s="1" t="s">
        <v>1622</v>
      </c>
      <c r="G209" s="1" t="s">
        <v>2020</v>
      </c>
      <c r="H209" s="3" t="s">
        <v>1913</v>
      </c>
      <c r="I209" s="1" t="s">
        <v>21</v>
      </c>
      <c r="J209" s="1" t="s">
        <v>2302</v>
      </c>
      <c r="K209" s="2">
        <v>-68.840583</v>
      </c>
      <c r="L209" s="2">
        <v>-32.886005</v>
      </c>
    </row>
    <row r="210">
      <c r="A210" s="1">
        <v>948.0</v>
      </c>
      <c r="B210" s="1" t="s">
        <v>55</v>
      </c>
      <c r="C210" s="1">
        <v>1.0</v>
      </c>
      <c r="D210" s="1" t="s">
        <v>2305</v>
      </c>
      <c r="E210" s="1" t="s">
        <v>1104</v>
      </c>
      <c r="F210" s="1" t="s">
        <v>1622</v>
      </c>
      <c r="G210" s="1" t="s">
        <v>2306</v>
      </c>
      <c r="H210" s="1" t="s">
        <v>2308</v>
      </c>
      <c r="I210" s="1" t="s">
        <v>21</v>
      </c>
      <c r="J210" s="1" t="s">
        <v>2309</v>
      </c>
      <c r="K210" s="2">
        <v>-68.840684</v>
      </c>
      <c r="L210" s="2">
        <v>-32.886033</v>
      </c>
    </row>
    <row r="211">
      <c r="A211" s="1">
        <v>954.0</v>
      </c>
      <c r="B211" s="1" t="s">
        <v>55</v>
      </c>
      <c r="C211" s="1">
        <v>6.0</v>
      </c>
      <c r="D211" s="1" t="s">
        <v>2310</v>
      </c>
      <c r="E211" s="1" t="s">
        <v>1104</v>
      </c>
      <c r="F211" s="1" t="s">
        <v>1622</v>
      </c>
      <c r="G211" s="1" t="s">
        <v>2311</v>
      </c>
      <c r="H211" s="1" t="s">
        <v>962</v>
      </c>
      <c r="I211" s="1" t="s">
        <v>21</v>
      </c>
      <c r="J211" s="1" t="s">
        <v>2312</v>
      </c>
      <c r="K211" s="2">
        <v>-68.8390479</v>
      </c>
      <c r="L211" s="2">
        <v>-32.8863379</v>
      </c>
    </row>
    <row r="212">
      <c r="A212" s="1">
        <v>955.0</v>
      </c>
      <c r="B212" s="1" t="s">
        <v>55</v>
      </c>
      <c r="C212" s="1">
        <v>7.0</v>
      </c>
      <c r="D212" s="1" t="s">
        <v>2313</v>
      </c>
      <c r="E212" s="1" t="s">
        <v>1104</v>
      </c>
      <c r="F212" s="1" t="s">
        <v>1622</v>
      </c>
      <c r="G212" s="1" t="s">
        <v>2314</v>
      </c>
      <c r="H212" s="3" t="s">
        <v>2315</v>
      </c>
      <c r="I212" s="1" t="s">
        <v>21</v>
      </c>
      <c r="J212" s="1" t="s">
        <v>2316</v>
      </c>
      <c r="K212" s="2">
        <v>-68.83913629999999</v>
      </c>
      <c r="L212" s="2">
        <v>-32.8862998</v>
      </c>
    </row>
    <row r="213">
      <c r="A213" s="1">
        <v>957.0</v>
      </c>
      <c r="B213" s="1" t="s">
        <v>55</v>
      </c>
      <c r="C213" s="1">
        <v>7.0</v>
      </c>
      <c r="D213" s="1" t="s">
        <v>2319</v>
      </c>
      <c r="E213" s="1" t="s">
        <v>1104</v>
      </c>
      <c r="F213" s="1" t="s">
        <v>1622</v>
      </c>
      <c r="G213" s="1" t="s">
        <v>2321</v>
      </c>
      <c r="H213" s="3" t="s">
        <v>2323</v>
      </c>
      <c r="I213" s="1" t="s">
        <v>21</v>
      </c>
      <c r="J213" s="1" t="s">
        <v>2324</v>
      </c>
      <c r="K213" s="2">
        <v>-68.8391439</v>
      </c>
      <c r="L213" s="2">
        <v>-32.886316</v>
      </c>
    </row>
    <row r="214">
      <c r="A214" s="1">
        <v>961.0</v>
      </c>
      <c r="B214" s="1" t="s">
        <v>55</v>
      </c>
      <c r="C214" s="1">
        <v>7.0</v>
      </c>
      <c r="D214" s="1" t="s">
        <v>2325</v>
      </c>
      <c r="E214" s="1" t="s">
        <v>1104</v>
      </c>
      <c r="F214" s="1" t="s">
        <v>1622</v>
      </c>
      <c r="G214" s="1" t="s">
        <v>1994</v>
      </c>
      <c r="H214" s="3" t="s">
        <v>1319</v>
      </c>
      <c r="I214" s="1" t="s">
        <v>21</v>
      </c>
      <c r="J214" s="1" t="s">
        <v>2327</v>
      </c>
      <c r="K214" s="2">
        <v>-68.83919</v>
      </c>
      <c r="L214" s="2">
        <v>-32.886285</v>
      </c>
    </row>
    <row r="215">
      <c r="A215" s="1">
        <v>963.0</v>
      </c>
      <c r="B215" s="1" t="s">
        <v>55</v>
      </c>
      <c r="C215" s="1">
        <v>7.0</v>
      </c>
      <c r="D215" s="1" t="s">
        <v>2328</v>
      </c>
      <c r="E215" s="1" t="s">
        <v>1104</v>
      </c>
      <c r="F215" s="1" t="s">
        <v>1622</v>
      </c>
      <c r="G215" s="1" t="s">
        <v>2329</v>
      </c>
      <c r="H215" s="3" t="s">
        <v>1749</v>
      </c>
      <c r="I215" s="1" t="s">
        <v>21</v>
      </c>
      <c r="J215" s="1" t="s">
        <v>2332</v>
      </c>
      <c r="K215" s="2">
        <v>-68.839466</v>
      </c>
      <c r="L215" s="2">
        <v>-32.886244</v>
      </c>
    </row>
    <row r="216">
      <c r="A216" s="1">
        <v>974.0</v>
      </c>
      <c r="B216" s="1" t="s">
        <v>62</v>
      </c>
      <c r="C216" s="1">
        <v>1.0</v>
      </c>
      <c r="D216" s="1">
        <v>0.0</v>
      </c>
      <c r="E216" s="1" t="s">
        <v>1104</v>
      </c>
      <c r="F216" s="1" t="s">
        <v>1622</v>
      </c>
      <c r="G216" s="1" t="s">
        <v>1190</v>
      </c>
      <c r="H216" s="1" t="s">
        <v>2335</v>
      </c>
      <c r="I216" s="1" t="s">
        <v>21</v>
      </c>
      <c r="J216" s="1" t="s">
        <v>1193</v>
      </c>
      <c r="K216" s="2">
        <v>-68.8427074</v>
      </c>
      <c r="L216" s="2">
        <v>-32.8943449</v>
      </c>
    </row>
    <row r="217">
      <c r="A217" s="1">
        <v>993.0</v>
      </c>
      <c r="B217" s="1" t="s">
        <v>62</v>
      </c>
      <c r="C217" s="1">
        <v>3.0</v>
      </c>
      <c r="D217" s="1" t="s">
        <v>2336</v>
      </c>
      <c r="E217" s="1" t="s">
        <v>1104</v>
      </c>
      <c r="F217" s="1" t="s">
        <v>1622</v>
      </c>
      <c r="G217" s="1" t="s">
        <v>2337</v>
      </c>
      <c r="H217" s="1" t="s">
        <v>2338</v>
      </c>
      <c r="I217" s="1" t="s">
        <v>21</v>
      </c>
      <c r="J217" s="1" t="s">
        <v>2339</v>
      </c>
      <c r="K217" s="2">
        <v>-68.8447169</v>
      </c>
      <c r="L217" s="2">
        <v>-32.8940408</v>
      </c>
    </row>
    <row r="218">
      <c r="A218" s="1">
        <v>1046.0</v>
      </c>
      <c r="B218" s="1" t="s">
        <v>62</v>
      </c>
      <c r="C218" s="1">
        <v>2.0</v>
      </c>
      <c r="D218" s="1">
        <v>0.0</v>
      </c>
      <c r="E218" s="1" t="s">
        <v>1104</v>
      </c>
      <c r="F218" s="1" t="s">
        <v>1622</v>
      </c>
      <c r="G218" s="1" t="s">
        <v>2341</v>
      </c>
      <c r="H218" s="1" t="s">
        <v>2342</v>
      </c>
      <c r="I218" s="1" t="s">
        <v>21</v>
      </c>
      <c r="J218" s="1" t="s">
        <v>2344</v>
      </c>
      <c r="K218" s="2">
        <v>-68.8481296</v>
      </c>
      <c r="L218" s="2">
        <v>-32.8937137</v>
      </c>
    </row>
    <row r="219">
      <c r="A219" s="1">
        <v>1057.0</v>
      </c>
      <c r="B219" s="1" t="s">
        <v>62</v>
      </c>
      <c r="C219" s="1">
        <v>4.0</v>
      </c>
      <c r="D219" s="1" t="s">
        <v>2348</v>
      </c>
      <c r="E219" s="1" t="s">
        <v>1104</v>
      </c>
      <c r="F219" s="1" t="s">
        <v>1622</v>
      </c>
      <c r="G219" s="1" t="s">
        <v>2349</v>
      </c>
      <c r="H219" s="1" t="s">
        <v>2350</v>
      </c>
      <c r="I219" s="1" t="s">
        <v>21</v>
      </c>
      <c r="J219" s="1" t="s">
        <v>2351</v>
      </c>
      <c r="K219" s="2">
        <v>-68.847015</v>
      </c>
      <c r="L219" s="2">
        <v>-32.8939294</v>
      </c>
    </row>
    <row r="220">
      <c r="B220" s="1" t="s">
        <v>62</v>
      </c>
      <c r="C220" s="1">
        <v>4.0</v>
      </c>
      <c r="D220" s="1" t="s">
        <v>2352</v>
      </c>
      <c r="E220" s="1" t="s">
        <v>1104</v>
      </c>
      <c r="F220" s="1" t="s">
        <v>1622</v>
      </c>
      <c r="G220" s="1" t="s">
        <v>2353</v>
      </c>
      <c r="H220" s="1" t="s">
        <v>2353</v>
      </c>
      <c r="I220" s="1" t="s">
        <v>21</v>
      </c>
      <c r="J220" s="1" t="s">
        <v>2354</v>
      </c>
      <c r="K220" s="2">
        <v>-68.8465645</v>
      </c>
      <c r="L220" s="2">
        <v>-32.8940286</v>
      </c>
    </row>
    <row r="221">
      <c r="A221" s="1">
        <v>1073.0</v>
      </c>
      <c r="B221" s="1" t="s">
        <v>62</v>
      </c>
      <c r="C221" s="1">
        <v>1.0</v>
      </c>
      <c r="D221" s="1">
        <v>0.0</v>
      </c>
      <c r="E221" s="1" t="s">
        <v>1104</v>
      </c>
      <c r="F221" s="1" t="s">
        <v>1622</v>
      </c>
      <c r="G221" s="1" t="s">
        <v>1024</v>
      </c>
      <c r="H221" s="3" t="s">
        <v>1624</v>
      </c>
      <c r="I221" s="1" t="s">
        <v>21</v>
      </c>
      <c r="J221" s="1" t="s">
        <v>1027</v>
      </c>
      <c r="K221" s="2">
        <v>-68.8454418</v>
      </c>
      <c r="L221" s="2">
        <v>-32.8943231</v>
      </c>
    </row>
    <row r="222">
      <c r="A222" s="1">
        <v>1077.0</v>
      </c>
      <c r="B222" s="1" t="s">
        <v>62</v>
      </c>
      <c r="C222" s="1">
        <v>1.0</v>
      </c>
      <c r="D222" s="1">
        <v>0.0</v>
      </c>
      <c r="E222" s="1" t="s">
        <v>1104</v>
      </c>
      <c r="F222" s="1" t="s">
        <v>1622</v>
      </c>
      <c r="G222" s="1" t="s">
        <v>2356</v>
      </c>
      <c r="H222" s="3" t="s">
        <v>1640</v>
      </c>
      <c r="I222" s="1" t="s">
        <v>21</v>
      </c>
      <c r="J222" s="1" t="s">
        <v>2357</v>
      </c>
      <c r="K222" s="2">
        <v>-68.8451721</v>
      </c>
      <c r="L222" s="2">
        <v>-32.8942723</v>
      </c>
    </row>
    <row r="223">
      <c r="A223" s="1">
        <v>1078.0</v>
      </c>
      <c r="B223" s="1" t="s">
        <v>62</v>
      </c>
      <c r="C223" s="1">
        <v>0.0</v>
      </c>
      <c r="D223" s="1">
        <v>0.0</v>
      </c>
      <c r="E223" s="1" t="s">
        <v>1104</v>
      </c>
      <c r="F223" s="1" t="s">
        <v>1622</v>
      </c>
      <c r="G223" s="1" t="s">
        <v>2358</v>
      </c>
      <c r="H223" s="1">
        <v>0.0</v>
      </c>
      <c r="I223" s="1" t="s">
        <v>21</v>
      </c>
      <c r="J223" s="1" t="s">
        <v>2359</v>
      </c>
      <c r="K223" s="2">
        <v>-68.84514070000002</v>
      </c>
      <c r="L223" s="2">
        <v>-32.8943714</v>
      </c>
    </row>
    <row r="224">
      <c r="A224" s="1">
        <v>1110.0</v>
      </c>
      <c r="B224" s="1" t="s">
        <v>120</v>
      </c>
      <c r="C224" s="1" t="s">
        <v>1103</v>
      </c>
      <c r="D224" s="1" t="s">
        <v>2364</v>
      </c>
      <c r="E224" s="1" t="s">
        <v>1104</v>
      </c>
      <c r="F224" s="1" t="s">
        <v>1622</v>
      </c>
      <c r="G224" s="1" t="s">
        <v>1149</v>
      </c>
      <c r="H224" s="1" t="s">
        <v>1103</v>
      </c>
      <c r="I224" s="1" t="s">
        <v>21</v>
      </c>
      <c r="J224" s="1" t="s">
        <v>2365</v>
      </c>
      <c r="K224" s="2">
        <v>-68.8399263</v>
      </c>
      <c r="L224" s="2">
        <v>-32.8892643</v>
      </c>
    </row>
    <row r="225">
      <c r="A225" s="1">
        <v>1111.0</v>
      </c>
      <c r="B225" s="1" t="s">
        <v>120</v>
      </c>
      <c r="C225" s="1" t="s">
        <v>1103</v>
      </c>
      <c r="D225" s="1" t="s">
        <v>1103</v>
      </c>
      <c r="E225" s="1" t="s">
        <v>1104</v>
      </c>
      <c r="F225" s="1" t="s">
        <v>1622</v>
      </c>
      <c r="G225" s="1" t="s">
        <v>2366</v>
      </c>
      <c r="H225" s="1" t="s">
        <v>2366</v>
      </c>
      <c r="I225" s="1" t="s">
        <v>21</v>
      </c>
      <c r="J225" s="1" t="s">
        <v>2367</v>
      </c>
      <c r="K225" s="2">
        <v>-68.8399474</v>
      </c>
      <c r="L225" s="2">
        <v>-32.8892606</v>
      </c>
    </row>
    <row r="226">
      <c r="A226" s="1">
        <v>1113.0</v>
      </c>
      <c r="B226" s="1" t="s">
        <v>120</v>
      </c>
      <c r="C226" s="1" t="s">
        <v>1103</v>
      </c>
      <c r="D226" s="1" t="s">
        <v>1103</v>
      </c>
      <c r="E226" s="1" t="s">
        <v>1104</v>
      </c>
      <c r="F226" s="1" t="s">
        <v>1622</v>
      </c>
      <c r="G226" s="1" t="s">
        <v>2372</v>
      </c>
      <c r="H226" s="1" t="s">
        <v>1103</v>
      </c>
      <c r="I226" s="1" t="s">
        <v>21</v>
      </c>
      <c r="J226" s="1" t="s">
        <v>2373</v>
      </c>
      <c r="K226" s="2">
        <v>-68.839946</v>
      </c>
      <c r="L226" s="2">
        <v>-32.8892559</v>
      </c>
    </row>
    <row r="227">
      <c r="A227" s="1">
        <v>1114.0</v>
      </c>
      <c r="B227" s="1" t="s">
        <v>120</v>
      </c>
      <c r="C227" s="1" t="s">
        <v>1103</v>
      </c>
      <c r="D227" s="1" t="s">
        <v>1103</v>
      </c>
      <c r="E227" s="1" t="s">
        <v>1104</v>
      </c>
      <c r="F227" s="1" t="s">
        <v>1622</v>
      </c>
      <c r="G227" s="1" t="s">
        <v>2375</v>
      </c>
      <c r="H227" s="1" t="s">
        <v>1103</v>
      </c>
      <c r="I227" s="1" t="s">
        <v>21</v>
      </c>
      <c r="J227" s="1" t="s">
        <v>2376</v>
      </c>
      <c r="K227" s="2">
        <v>-68.8400144</v>
      </c>
      <c r="L227" s="2">
        <v>-32.8892534</v>
      </c>
    </row>
    <row r="228">
      <c r="A228" s="1">
        <v>1115.0</v>
      </c>
      <c r="B228" s="1" t="s">
        <v>120</v>
      </c>
      <c r="C228" s="1" t="s">
        <v>1103</v>
      </c>
      <c r="D228" s="1" t="s">
        <v>2377</v>
      </c>
      <c r="E228" s="1" t="s">
        <v>1104</v>
      </c>
      <c r="F228" s="1" t="s">
        <v>1622</v>
      </c>
      <c r="G228" s="1" t="s">
        <v>2375</v>
      </c>
      <c r="H228" s="1" t="s">
        <v>1103</v>
      </c>
      <c r="I228" s="1" t="s">
        <v>21</v>
      </c>
      <c r="J228" s="1" t="s">
        <v>2376</v>
      </c>
      <c r="K228" s="2">
        <v>-68.8400144</v>
      </c>
      <c r="L228" s="2">
        <v>-32.8892534</v>
      </c>
    </row>
    <row r="229">
      <c r="A229" s="1">
        <v>1128.0</v>
      </c>
      <c r="B229" s="1" t="s">
        <v>120</v>
      </c>
      <c r="C229" s="1" t="s">
        <v>1103</v>
      </c>
      <c r="D229" s="1" t="s">
        <v>2378</v>
      </c>
      <c r="E229" s="1" t="s">
        <v>1104</v>
      </c>
      <c r="F229" s="1" t="s">
        <v>1622</v>
      </c>
      <c r="G229" s="1" t="s">
        <v>2379</v>
      </c>
      <c r="H229" s="1" t="s">
        <v>1103</v>
      </c>
      <c r="I229" s="1" t="s">
        <v>21</v>
      </c>
      <c r="J229" s="1" t="s">
        <v>2381</v>
      </c>
      <c r="K229" s="2">
        <v>-68.841388</v>
      </c>
      <c r="L229" s="2">
        <v>-32.888976</v>
      </c>
    </row>
    <row r="230">
      <c r="B230" s="1" t="s">
        <v>120</v>
      </c>
      <c r="C230" s="1" t="s">
        <v>1103</v>
      </c>
      <c r="D230" s="1" t="s">
        <v>2384</v>
      </c>
      <c r="E230" s="1" t="s">
        <v>1104</v>
      </c>
      <c r="F230" s="1" t="s">
        <v>1622</v>
      </c>
      <c r="G230" s="1" t="s">
        <v>2385</v>
      </c>
      <c r="H230" s="1" t="s">
        <v>2385</v>
      </c>
      <c r="I230" s="1" t="s">
        <v>21</v>
      </c>
      <c r="J230" s="1" t="s">
        <v>2386</v>
      </c>
      <c r="K230" s="2">
        <v>-68.8414899</v>
      </c>
      <c r="L230" s="2">
        <v>-32.889249</v>
      </c>
    </row>
    <row r="231">
      <c r="A231" s="1">
        <v>1156.0</v>
      </c>
      <c r="B231" s="1" t="s">
        <v>120</v>
      </c>
      <c r="C231" s="1" t="s">
        <v>1103</v>
      </c>
      <c r="D231" s="1" t="s">
        <v>1103</v>
      </c>
      <c r="E231" s="1" t="s">
        <v>1104</v>
      </c>
      <c r="F231" s="1" t="s">
        <v>1622</v>
      </c>
      <c r="G231" s="1" t="s">
        <v>2387</v>
      </c>
      <c r="H231" s="1" t="s">
        <v>1103</v>
      </c>
      <c r="I231" s="1" t="s">
        <v>21</v>
      </c>
      <c r="J231" s="1" t="s">
        <v>2388</v>
      </c>
      <c r="K231" s="2">
        <v>-68.8413344</v>
      </c>
      <c r="L231" s="2">
        <v>-32.889231</v>
      </c>
    </row>
    <row r="232">
      <c r="A232" s="1">
        <v>1158.0</v>
      </c>
      <c r="B232" s="1" t="s">
        <v>120</v>
      </c>
      <c r="C232" s="1" t="s">
        <v>1103</v>
      </c>
      <c r="D232" s="1" t="s">
        <v>2389</v>
      </c>
      <c r="E232" s="1" t="s">
        <v>1104</v>
      </c>
      <c r="F232" s="1" t="s">
        <v>1622</v>
      </c>
      <c r="G232" s="1" t="s">
        <v>2390</v>
      </c>
      <c r="H232" s="1" t="s">
        <v>1103</v>
      </c>
      <c r="I232" s="1" t="s">
        <v>21</v>
      </c>
      <c r="J232" s="1" t="s">
        <v>2391</v>
      </c>
      <c r="K232" s="2">
        <v>-68.841241</v>
      </c>
      <c r="L232" s="2">
        <v>-32.8892839</v>
      </c>
    </row>
    <row r="233">
      <c r="A233" s="1">
        <v>1162.0</v>
      </c>
      <c r="B233" s="1" t="s">
        <v>120</v>
      </c>
      <c r="C233" s="1" t="s">
        <v>1103</v>
      </c>
      <c r="D233" s="1" t="s">
        <v>2393</v>
      </c>
      <c r="E233" s="1" t="s">
        <v>1104</v>
      </c>
      <c r="F233" s="1" t="s">
        <v>1622</v>
      </c>
      <c r="G233" s="1" t="s">
        <v>2394</v>
      </c>
      <c r="H233" s="1" t="s">
        <v>1103</v>
      </c>
      <c r="I233" s="1" t="s">
        <v>21</v>
      </c>
      <c r="J233" s="1" t="s">
        <v>2395</v>
      </c>
      <c r="K233" s="2">
        <v>-68.8407139</v>
      </c>
      <c r="L233" s="2">
        <v>-32.8893629</v>
      </c>
    </row>
    <row r="234">
      <c r="A234" s="1">
        <v>1163.0</v>
      </c>
      <c r="B234" s="1" t="s">
        <v>120</v>
      </c>
      <c r="C234" s="1" t="s">
        <v>1103</v>
      </c>
      <c r="D234" s="1" t="s">
        <v>1103</v>
      </c>
      <c r="E234" s="1" t="s">
        <v>1104</v>
      </c>
      <c r="F234" s="1" t="s">
        <v>1622</v>
      </c>
      <c r="G234" s="1" t="s">
        <v>2398</v>
      </c>
      <c r="H234" s="1" t="s">
        <v>1103</v>
      </c>
      <c r="I234" s="1" t="s">
        <v>21</v>
      </c>
      <c r="J234" s="1" t="s">
        <v>2400</v>
      </c>
      <c r="K234" s="2">
        <v>-68.8407249</v>
      </c>
      <c r="L234" s="2">
        <v>-32.8894018</v>
      </c>
    </row>
    <row r="235">
      <c r="A235" s="1">
        <v>1164.0</v>
      </c>
      <c r="B235" s="1" t="s">
        <v>120</v>
      </c>
      <c r="C235" s="1" t="s">
        <v>1103</v>
      </c>
      <c r="D235" s="1" t="s">
        <v>2226</v>
      </c>
      <c r="E235" s="1" t="s">
        <v>1104</v>
      </c>
      <c r="F235" s="1" t="s">
        <v>1622</v>
      </c>
      <c r="G235" s="1" t="s">
        <v>2402</v>
      </c>
      <c r="H235" s="1" t="s">
        <v>1103</v>
      </c>
      <c r="I235" s="1" t="s">
        <v>21</v>
      </c>
      <c r="J235" s="1" t="s">
        <v>2403</v>
      </c>
      <c r="K235" s="2">
        <v>-68.8405666</v>
      </c>
      <c r="L235" s="2">
        <v>-32.889374</v>
      </c>
    </row>
    <row r="236">
      <c r="A236" s="1">
        <v>1165.0</v>
      </c>
      <c r="B236" s="1" t="s">
        <v>120</v>
      </c>
      <c r="C236" s="1" t="s">
        <v>1103</v>
      </c>
      <c r="D236" s="1" t="s">
        <v>1103</v>
      </c>
      <c r="E236" s="1" t="s">
        <v>1104</v>
      </c>
      <c r="F236" s="1" t="s">
        <v>1622</v>
      </c>
      <c r="G236" s="1" t="s">
        <v>2405</v>
      </c>
      <c r="H236" s="1" t="s">
        <v>1103</v>
      </c>
      <c r="I236" s="1" t="s">
        <v>21</v>
      </c>
      <c r="J236" s="1" t="s">
        <v>2406</v>
      </c>
      <c r="K236" s="2">
        <v>-68.8403079</v>
      </c>
      <c r="L236" s="2">
        <v>-32.8894419</v>
      </c>
    </row>
    <row r="237">
      <c r="A237" s="1">
        <v>1168.0</v>
      </c>
      <c r="B237" s="1" t="s">
        <v>120</v>
      </c>
      <c r="C237" s="1" t="s">
        <v>1103</v>
      </c>
      <c r="D237" s="1" t="s">
        <v>2408</v>
      </c>
      <c r="E237" s="1" t="s">
        <v>1104</v>
      </c>
      <c r="F237" s="1" t="s">
        <v>1622</v>
      </c>
      <c r="G237" s="1" t="s">
        <v>2410</v>
      </c>
      <c r="H237" s="1" t="s">
        <v>1103</v>
      </c>
      <c r="I237" s="1" t="s">
        <v>21</v>
      </c>
      <c r="J237" s="1" t="s">
        <v>2412</v>
      </c>
      <c r="K237" s="2">
        <v>-68.84018100000002</v>
      </c>
      <c r="L237" s="2">
        <v>-32.8894499</v>
      </c>
    </row>
    <row r="238">
      <c r="A238" s="1">
        <v>1171.0</v>
      </c>
      <c r="B238" s="1" t="s">
        <v>120</v>
      </c>
      <c r="C238" s="1" t="s">
        <v>1103</v>
      </c>
      <c r="D238" s="1" t="s">
        <v>2414</v>
      </c>
      <c r="E238" s="1" t="s">
        <v>1104</v>
      </c>
      <c r="F238" s="1" t="s">
        <v>1622</v>
      </c>
      <c r="G238" s="1" t="s">
        <v>2415</v>
      </c>
      <c r="H238" s="1" t="s">
        <v>1103</v>
      </c>
      <c r="I238" s="1" t="s">
        <v>21</v>
      </c>
      <c r="J238" s="1" t="s">
        <v>2416</v>
      </c>
      <c r="K238" s="2">
        <v>-68.8400393</v>
      </c>
      <c r="L238" s="2">
        <v>-32.8892716</v>
      </c>
    </row>
    <row r="239">
      <c r="A239" s="1">
        <v>1172.0</v>
      </c>
      <c r="B239" s="1" t="s">
        <v>120</v>
      </c>
      <c r="C239" s="1" t="s">
        <v>1103</v>
      </c>
      <c r="D239" s="1" t="s">
        <v>1103</v>
      </c>
      <c r="E239" s="1" t="s">
        <v>1104</v>
      </c>
      <c r="F239" s="1" t="s">
        <v>1622</v>
      </c>
      <c r="G239" s="1" t="s">
        <v>2418</v>
      </c>
      <c r="H239" s="1" t="s">
        <v>1103</v>
      </c>
      <c r="I239" s="1" t="s">
        <v>21</v>
      </c>
      <c r="J239" s="1" t="s">
        <v>2420</v>
      </c>
      <c r="K239" s="2">
        <v>-68.8400499</v>
      </c>
      <c r="L239" s="2">
        <v>-32.88948</v>
      </c>
    </row>
    <row r="240">
      <c r="A240" s="1">
        <v>1175.0</v>
      </c>
      <c r="B240" s="1" t="s">
        <v>120</v>
      </c>
      <c r="C240" s="1" t="s">
        <v>1103</v>
      </c>
      <c r="D240" s="1" t="s">
        <v>2424</v>
      </c>
      <c r="E240" s="1" t="s">
        <v>1104</v>
      </c>
      <c r="F240" s="1" t="s">
        <v>1622</v>
      </c>
      <c r="G240" s="1" t="s">
        <v>2425</v>
      </c>
      <c r="H240" s="1" t="s">
        <v>1103</v>
      </c>
      <c r="I240" s="1" t="s">
        <v>21</v>
      </c>
      <c r="J240" s="1" t="s">
        <v>2426</v>
      </c>
      <c r="K240" s="2">
        <v>-68.839848</v>
      </c>
      <c r="L240" s="2">
        <v>-32.88955600000001</v>
      </c>
    </row>
    <row r="241">
      <c r="B241" s="1" t="s">
        <v>227</v>
      </c>
      <c r="C241" s="1">
        <v>9.0</v>
      </c>
      <c r="D241" s="1" t="s">
        <v>2427</v>
      </c>
      <c r="E241" s="1" t="s">
        <v>1104</v>
      </c>
      <c r="F241" s="1" t="s">
        <v>1622</v>
      </c>
      <c r="G241" s="1" t="s">
        <v>2428</v>
      </c>
      <c r="H241" s="1" t="s">
        <v>2428</v>
      </c>
      <c r="I241" s="1" t="s">
        <v>21</v>
      </c>
      <c r="J241" s="1" t="s">
        <v>2430</v>
      </c>
      <c r="K241" s="2">
        <v>-68.81938780000002</v>
      </c>
      <c r="L241" s="2">
        <v>-32.8646185</v>
      </c>
    </row>
    <row r="242">
      <c r="A242" s="1">
        <v>1242.0</v>
      </c>
      <c r="B242" s="1" t="s">
        <v>227</v>
      </c>
      <c r="C242" s="1" t="s">
        <v>1103</v>
      </c>
      <c r="D242" s="1" t="s">
        <v>1103</v>
      </c>
      <c r="E242" s="1" t="s">
        <v>1104</v>
      </c>
      <c r="F242" s="1" t="s">
        <v>1622</v>
      </c>
      <c r="G242" s="1" t="s">
        <v>2434</v>
      </c>
      <c r="H242" s="1" t="s">
        <v>1103</v>
      </c>
      <c r="I242" s="1" t="s">
        <v>21</v>
      </c>
      <c r="J242" s="1" t="s">
        <v>2435</v>
      </c>
      <c r="K242" s="2">
        <v>-68.83822719999999</v>
      </c>
      <c r="L242" s="2">
        <v>-32.8841037</v>
      </c>
    </row>
    <row r="243">
      <c r="A243" s="1">
        <v>1243.0</v>
      </c>
      <c r="B243" s="1" t="s">
        <v>227</v>
      </c>
      <c r="C243" s="1" t="s">
        <v>1103</v>
      </c>
      <c r="D243" s="1" t="s">
        <v>1103</v>
      </c>
      <c r="E243" s="1" t="s">
        <v>1104</v>
      </c>
      <c r="F243" s="1" t="s">
        <v>1622</v>
      </c>
      <c r="G243" s="1" t="s">
        <v>2436</v>
      </c>
      <c r="H243" s="1" t="s">
        <v>1103</v>
      </c>
      <c r="I243" s="1" t="s">
        <v>21</v>
      </c>
      <c r="J243" s="1" t="s">
        <v>2437</v>
      </c>
      <c r="K243" s="2">
        <v>-68.8381749</v>
      </c>
      <c r="L243" s="2">
        <v>-32.884079</v>
      </c>
    </row>
    <row r="244">
      <c r="A244" s="1">
        <v>1244.0</v>
      </c>
      <c r="B244" s="1" t="s">
        <v>227</v>
      </c>
      <c r="C244" s="1" t="s">
        <v>1103</v>
      </c>
      <c r="D244" s="1" t="s">
        <v>1103</v>
      </c>
      <c r="E244" s="1" t="s">
        <v>1104</v>
      </c>
      <c r="F244" s="1" t="s">
        <v>1622</v>
      </c>
      <c r="G244" s="1" t="s">
        <v>2438</v>
      </c>
      <c r="H244" s="1" t="s">
        <v>1103</v>
      </c>
      <c r="I244" s="1" t="s">
        <v>21</v>
      </c>
      <c r="J244" s="1" t="s">
        <v>2439</v>
      </c>
      <c r="K244" s="2">
        <v>-68.83812950000001</v>
      </c>
      <c r="L244" s="2">
        <v>-32.8842051</v>
      </c>
    </row>
    <row r="245">
      <c r="A245" s="1">
        <v>1248.0</v>
      </c>
      <c r="B245" s="1" t="s">
        <v>227</v>
      </c>
      <c r="C245" s="1" t="s">
        <v>1103</v>
      </c>
      <c r="D245" s="1" t="s">
        <v>1103</v>
      </c>
      <c r="E245" s="1" t="s">
        <v>1104</v>
      </c>
      <c r="F245" s="1" t="s">
        <v>1622</v>
      </c>
      <c r="G245" s="1" t="s">
        <v>2440</v>
      </c>
      <c r="H245" s="1" t="s">
        <v>1103</v>
      </c>
      <c r="I245" s="1" t="s">
        <v>21</v>
      </c>
      <c r="J245" s="1" t="s">
        <v>2442</v>
      </c>
      <c r="K245" s="2">
        <v>-68.837985</v>
      </c>
      <c r="L245" s="2">
        <v>-32.884213</v>
      </c>
    </row>
    <row r="246">
      <c r="A246" s="1">
        <v>1342.0</v>
      </c>
      <c r="B246" s="1" t="s">
        <v>248</v>
      </c>
      <c r="C246" s="1" t="s">
        <v>1103</v>
      </c>
      <c r="D246" s="1" t="s">
        <v>1103</v>
      </c>
      <c r="E246" s="1" t="s">
        <v>1104</v>
      </c>
      <c r="F246" s="1" t="s">
        <v>1622</v>
      </c>
      <c r="G246" s="1" t="s">
        <v>2445</v>
      </c>
      <c r="H246" s="1" t="s">
        <v>1103</v>
      </c>
      <c r="I246" s="1" t="s">
        <v>21</v>
      </c>
      <c r="J246" s="1" t="s">
        <v>2447</v>
      </c>
      <c r="K246" s="2">
        <v>-68.84049040000001</v>
      </c>
      <c r="L246" s="2">
        <v>-32.884785</v>
      </c>
    </row>
    <row r="247">
      <c r="A247" s="1">
        <v>1250.0</v>
      </c>
      <c r="B247" s="1" t="s">
        <v>248</v>
      </c>
      <c r="C247" s="1" t="s">
        <v>1103</v>
      </c>
      <c r="D247" s="1" t="s">
        <v>1103</v>
      </c>
      <c r="E247" s="1" t="s">
        <v>1104</v>
      </c>
      <c r="F247" s="1" t="s">
        <v>1622</v>
      </c>
      <c r="G247" s="1" t="s">
        <v>2448</v>
      </c>
      <c r="H247" s="1" t="s">
        <v>1103</v>
      </c>
      <c r="I247" s="1" t="s">
        <v>21</v>
      </c>
      <c r="J247" s="1" t="s">
        <v>2450</v>
      </c>
      <c r="K247" s="2">
        <v>-68.8458386</v>
      </c>
      <c r="L247" s="2">
        <v>-32.8894587</v>
      </c>
    </row>
    <row r="248">
      <c r="A248" s="1">
        <v>1254.0</v>
      </c>
      <c r="B248" s="1" t="s">
        <v>248</v>
      </c>
      <c r="C248" s="1" t="s">
        <v>1103</v>
      </c>
      <c r="D248" s="1" t="s">
        <v>1103</v>
      </c>
      <c r="E248" s="1" t="s">
        <v>1104</v>
      </c>
      <c r="F248" s="1" t="s">
        <v>1622</v>
      </c>
      <c r="G248" s="1" t="s">
        <v>2453</v>
      </c>
      <c r="H248" s="1" t="s">
        <v>1103</v>
      </c>
      <c r="I248" s="1" t="s">
        <v>21</v>
      </c>
      <c r="J248" s="1" t="s">
        <v>2454</v>
      </c>
      <c r="K248" s="2">
        <v>-68.8420336</v>
      </c>
      <c r="L248" s="2">
        <v>-32.89297640000001</v>
      </c>
    </row>
    <row r="249">
      <c r="A249" s="1">
        <v>1265.0</v>
      </c>
      <c r="B249" s="1" t="s">
        <v>248</v>
      </c>
      <c r="C249" s="1" t="s">
        <v>1103</v>
      </c>
      <c r="D249" s="1" t="s">
        <v>1103</v>
      </c>
      <c r="E249" s="1" t="s">
        <v>1104</v>
      </c>
      <c r="F249" s="1" t="s">
        <v>1622</v>
      </c>
      <c r="G249" s="1" t="s">
        <v>2456</v>
      </c>
      <c r="H249" s="1" t="s">
        <v>1103</v>
      </c>
      <c r="I249" s="1" t="s">
        <v>21</v>
      </c>
      <c r="J249" s="1" t="s">
        <v>2457</v>
      </c>
      <c r="K249" s="2">
        <v>-68.8458386</v>
      </c>
      <c r="L249" s="2">
        <v>-32.8894587</v>
      </c>
    </row>
    <row r="250">
      <c r="A250" s="1">
        <v>1257.0</v>
      </c>
      <c r="B250" s="1" t="s">
        <v>248</v>
      </c>
      <c r="C250" s="1" t="s">
        <v>1103</v>
      </c>
      <c r="D250" s="1" t="s">
        <v>2458</v>
      </c>
      <c r="E250" s="1" t="s">
        <v>1104</v>
      </c>
      <c r="F250" s="1" t="s">
        <v>1622</v>
      </c>
      <c r="G250" s="1" t="s">
        <v>753</v>
      </c>
      <c r="H250" s="1" t="s">
        <v>753</v>
      </c>
      <c r="I250" s="1" t="s">
        <v>21</v>
      </c>
      <c r="J250" s="1" t="s">
        <v>754</v>
      </c>
      <c r="K250" s="2">
        <v>-68.8420336</v>
      </c>
      <c r="L250" s="2">
        <v>-32.89297640000001</v>
      </c>
    </row>
    <row r="251">
      <c r="A251" s="1">
        <v>1283.0</v>
      </c>
      <c r="B251" s="1" t="s">
        <v>248</v>
      </c>
      <c r="C251" s="1" t="s">
        <v>1103</v>
      </c>
      <c r="D251" s="1" t="s">
        <v>1103</v>
      </c>
      <c r="E251" s="1" t="s">
        <v>1104</v>
      </c>
      <c r="F251" s="1" t="s">
        <v>1622</v>
      </c>
      <c r="G251" s="1" t="s">
        <v>2462</v>
      </c>
      <c r="H251" s="1" t="s">
        <v>1103</v>
      </c>
      <c r="I251" s="1" t="s">
        <v>21</v>
      </c>
      <c r="J251" s="1" t="s">
        <v>2463</v>
      </c>
      <c r="K251" s="2">
        <v>-68.842384</v>
      </c>
      <c r="L251" s="2">
        <v>-32.890907</v>
      </c>
    </row>
    <row r="252">
      <c r="A252" s="1">
        <v>1287.0</v>
      </c>
      <c r="B252" s="1" t="s">
        <v>248</v>
      </c>
      <c r="C252" s="1" t="s">
        <v>1103</v>
      </c>
      <c r="D252" s="1" t="s">
        <v>1103</v>
      </c>
      <c r="E252" s="1" t="s">
        <v>1104</v>
      </c>
      <c r="F252" s="1" t="s">
        <v>1622</v>
      </c>
      <c r="G252" s="1" t="s">
        <v>2465</v>
      </c>
      <c r="H252" s="1" t="s">
        <v>1103</v>
      </c>
      <c r="I252" s="1" t="s">
        <v>21</v>
      </c>
      <c r="J252" s="1" t="s">
        <v>2466</v>
      </c>
      <c r="K252" s="2">
        <v>-68.8458386</v>
      </c>
      <c r="L252" s="2">
        <v>-32.8894587</v>
      </c>
    </row>
    <row r="253">
      <c r="A253" s="1">
        <v>1301.0</v>
      </c>
      <c r="B253" s="1" t="s">
        <v>248</v>
      </c>
      <c r="C253" s="1" t="s">
        <v>1103</v>
      </c>
      <c r="D253" s="1" t="s">
        <v>1103</v>
      </c>
      <c r="E253" s="1" t="s">
        <v>1104</v>
      </c>
      <c r="F253" s="1" t="s">
        <v>1622</v>
      </c>
      <c r="G253" s="1" t="s">
        <v>2247</v>
      </c>
      <c r="H253" s="1" t="s">
        <v>1103</v>
      </c>
      <c r="I253" s="1" t="s">
        <v>21</v>
      </c>
      <c r="J253" s="1" t="s">
        <v>2467</v>
      </c>
      <c r="K253" s="2">
        <v>-68.8421566</v>
      </c>
      <c r="L253" s="2">
        <v>-32.8917216</v>
      </c>
    </row>
    <row r="254">
      <c r="A254" s="1">
        <v>1305.0</v>
      </c>
      <c r="B254" s="1" t="s">
        <v>248</v>
      </c>
      <c r="C254" s="1" t="s">
        <v>1103</v>
      </c>
      <c r="D254" s="1" t="s">
        <v>1103</v>
      </c>
      <c r="E254" s="1" t="s">
        <v>1104</v>
      </c>
      <c r="F254" s="1" t="s">
        <v>1622</v>
      </c>
      <c r="G254" s="1" t="s">
        <v>719</v>
      </c>
      <c r="H254" s="1" t="s">
        <v>1103</v>
      </c>
      <c r="I254" s="1" t="s">
        <v>21</v>
      </c>
      <c r="J254" s="1" t="s">
        <v>723</v>
      </c>
      <c r="K254" s="2">
        <v>-68.8458386</v>
      </c>
      <c r="L254" s="2">
        <v>-32.8894587</v>
      </c>
    </row>
    <row r="255">
      <c r="A255" s="1">
        <v>1334.0</v>
      </c>
      <c r="B255" s="1" t="s">
        <v>248</v>
      </c>
      <c r="C255" s="1" t="s">
        <v>1103</v>
      </c>
      <c r="D255" s="1" t="s">
        <v>1103</v>
      </c>
      <c r="E255" s="1" t="s">
        <v>1104</v>
      </c>
      <c r="F255" s="1" t="s">
        <v>1622</v>
      </c>
      <c r="G255" s="1" t="s">
        <v>2471</v>
      </c>
      <c r="H255" s="1" t="s">
        <v>1103</v>
      </c>
      <c r="I255" s="1" t="s">
        <v>21</v>
      </c>
      <c r="J255" s="1" t="s">
        <v>2472</v>
      </c>
      <c r="K255" s="2">
        <v>-68.840606</v>
      </c>
      <c r="L255" s="2">
        <v>-32.8854401</v>
      </c>
    </row>
    <row r="256">
      <c r="A256" s="1">
        <v>1335.0</v>
      </c>
      <c r="B256" s="1" t="s">
        <v>248</v>
      </c>
      <c r="C256" s="1" t="s">
        <v>1103</v>
      </c>
      <c r="D256" s="1" t="s">
        <v>1103</v>
      </c>
      <c r="E256" s="1" t="s">
        <v>1104</v>
      </c>
      <c r="F256" s="1" t="s">
        <v>1622</v>
      </c>
      <c r="G256" s="1" t="s">
        <v>2471</v>
      </c>
      <c r="H256" s="1" t="s">
        <v>1103</v>
      </c>
      <c r="I256" s="1" t="s">
        <v>21</v>
      </c>
      <c r="J256" s="1" t="s">
        <v>2472</v>
      </c>
      <c r="K256" s="2">
        <v>-68.840606</v>
      </c>
      <c r="L256" s="2">
        <v>-32.8854401</v>
      </c>
    </row>
    <row r="257">
      <c r="A257" s="1">
        <v>1337.0</v>
      </c>
      <c r="B257" s="1" t="s">
        <v>248</v>
      </c>
      <c r="C257" s="1" t="s">
        <v>1103</v>
      </c>
      <c r="D257" s="1" t="s">
        <v>1103</v>
      </c>
      <c r="E257" s="1" t="s">
        <v>1104</v>
      </c>
      <c r="F257" s="1" t="s">
        <v>1622</v>
      </c>
      <c r="G257" s="1" t="s">
        <v>2473</v>
      </c>
      <c r="H257" s="1" t="s">
        <v>1103</v>
      </c>
      <c r="I257" s="1" t="s">
        <v>21</v>
      </c>
      <c r="J257" s="1" t="s">
        <v>2474</v>
      </c>
      <c r="K257" s="2">
        <v>-68.840436</v>
      </c>
      <c r="L257" s="2">
        <v>-32.8854709</v>
      </c>
    </row>
    <row r="258">
      <c r="A258" s="1">
        <v>1338.0</v>
      </c>
      <c r="B258" s="1" t="s">
        <v>248</v>
      </c>
      <c r="C258" s="1" t="s">
        <v>1103</v>
      </c>
      <c r="D258" s="1" t="s">
        <v>1103</v>
      </c>
      <c r="E258" s="1" t="s">
        <v>1104</v>
      </c>
      <c r="F258" s="1" t="s">
        <v>1622</v>
      </c>
      <c r="G258" s="1" t="s">
        <v>2473</v>
      </c>
      <c r="H258" s="1" t="s">
        <v>1103</v>
      </c>
      <c r="I258" s="1" t="s">
        <v>21</v>
      </c>
      <c r="J258" s="1" t="s">
        <v>2474</v>
      </c>
      <c r="K258" s="2">
        <v>-68.840436</v>
      </c>
      <c r="L258" s="2">
        <v>-32.8854709</v>
      </c>
    </row>
    <row r="259">
      <c r="A259" s="1">
        <v>1339.0</v>
      </c>
      <c r="B259" s="1" t="s">
        <v>248</v>
      </c>
      <c r="C259" s="1" t="s">
        <v>1103</v>
      </c>
      <c r="D259" s="1" t="s">
        <v>1103</v>
      </c>
      <c r="E259" s="1" t="s">
        <v>1104</v>
      </c>
      <c r="F259" s="1" t="s">
        <v>1622</v>
      </c>
      <c r="G259" s="1" t="s">
        <v>2473</v>
      </c>
      <c r="H259" s="1" t="s">
        <v>1103</v>
      </c>
      <c r="I259" s="1" t="s">
        <v>21</v>
      </c>
      <c r="J259" s="1" t="s">
        <v>2474</v>
      </c>
      <c r="K259" s="2">
        <v>-68.840436</v>
      </c>
      <c r="L259" s="2">
        <v>-32.8854709</v>
      </c>
    </row>
    <row r="260">
      <c r="A260" s="1">
        <v>1340.0</v>
      </c>
      <c r="B260" s="1" t="s">
        <v>248</v>
      </c>
      <c r="C260" s="1" t="s">
        <v>1103</v>
      </c>
      <c r="D260" s="1" t="s">
        <v>1103</v>
      </c>
      <c r="E260" s="1" t="s">
        <v>1104</v>
      </c>
      <c r="F260" s="1" t="s">
        <v>1622</v>
      </c>
      <c r="G260" s="1" t="s">
        <v>2473</v>
      </c>
      <c r="H260" s="1" t="s">
        <v>1103</v>
      </c>
      <c r="I260" s="1" t="s">
        <v>21</v>
      </c>
      <c r="J260" s="1" t="s">
        <v>2474</v>
      </c>
      <c r="K260" s="2">
        <v>-68.840436</v>
      </c>
      <c r="L260" s="2">
        <v>-32.8854709</v>
      </c>
    </row>
    <row r="261">
      <c r="A261" s="1">
        <v>1345.0</v>
      </c>
      <c r="B261" s="1" t="s">
        <v>248</v>
      </c>
      <c r="C261" s="1" t="s">
        <v>1103</v>
      </c>
      <c r="D261" s="1" t="s">
        <v>1103</v>
      </c>
      <c r="E261" s="1" t="s">
        <v>1104</v>
      </c>
      <c r="F261" s="1" t="s">
        <v>1622</v>
      </c>
      <c r="G261" s="1" t="s">
        <v>2478</v>
      </c>
      <c r="H261" s="1" t="s">
        <v>1103</v>
      </c>
      <c r="I261" s="1" t="s">
        <v>21</v>
      </c>
      <c r="J261" s="1" t="s">
        <v>2479</v>
      </c>
      <c r="K261" s="2">
        <v>-68.8458386</v>
      </c>
      <c r="L261" s="2">
        <v>-32.8894587</v>
      </c>
    </row>
    <row r="262">
      <c r="A262" s="1">
        <v>1349.0</v>
      </c>
      <c r="B262" s="1" t="s">
        <v>248</v>
      </c>
      <c r="C262" s="1" t="s">
        <v>1103</v>
      </c>
      <c r="D262" s="1" t="s">
        <v>1103</v>
      </c>
      <c r="E262" s="1" t="s">
        <v>1104</v>
      </c>
      <c r="F262" s="1" t="s">
        <v>1622</v>
      </c>
      <c r="G262" s="1" t="s">
        <v>2481</v>
      </c>
      <c r="H262" s="1" t="s">
        <v>1103</v>
      </c>
      <c r="I262" s="1" t="s">
        <v>21</v>
      </c>
      <c r="J262" s="1" t="s">
        <v>2483</v>
      </c>
      <c r="K262" s="2">
        <v>-68.8458386</v>
      </c>
      <c r="L262" s="2">
        <v>-32.8894587</v>
      </c>
    </row>
    <row r="263">
      <c r="A263" s="1">
        <v>1348.0</v>
      </c>
      <c r="B263" s="1" t="s">
        <v>248</v>
      </c>
      <c r="C263" s="1" t="s">
        <v>1103</v>
      </c>
      <c r="D263" s="1" t="s">
        <v>1103</v>
      </c>
      <c r="E263" s="1" t="s">
        <v>1104</v>
      </c>
      <c r="F263" s="1" t="s">
        <v>1622</v>
      </c>
      <c r="G263" s="1" t="s">
        <v>2481</v>
      </c>
      <c r="H263" s="1" t="s">
        <v>1103</v>
      </c>
      <c r="I263" s="1" t="s">
        <v>21</v>
      </c>
      <c r="J263" s="1" t="s">
        <v>2483</v>
      </c>
      <c r="K263" s="2">
        <v>-68.8458386</v>
      </c>
      <c r="L263" s="2">
        <v>-32.8894587</v>
      </c>
    </row>
    <row r="264">
      <c r="A264" s="1">
        <v>1350.0</v>
      </c>
      <c r="B264" s="1" t="s">
        <v>248</v>
      </c>
      <c r="C264" s="1" t="s">
        <v>1103</v>
      </c>
      <c r="D264" s="1" t="s">
        <v>1103</v>
      </c>
      <c r="E264" s="1" t="s">
        <v>1104</v>
      </c>
      <c r="F264" s="1" t="s">
        <v>1622</v>
      </c>
      <c r="G264" s="1" t="s">
        <v>2486</v>
      </c>
      <c r="H264" s="1" t="s">
        <v>1103</v>
      </c>
      <c r="I264" s="1" t="s">
        <v>21</v>
      </c>
      <c r="J264" s="1" t="s">
        <v>2488</v>
      </c>
      <c r="K264" s="2">
        <v>-68.8458386</v>
      </c>
      <c r="L264" s="2">
        <v>-32.8894587</v>
      </c>
    </row>
    <row r="265">
      <c r="A265" s="1">
        <v>1351.0</v>
      </c>
      <c r="B265" s="1" t="s">
        <v>248</v>
      </c>
      <c r="C265" s="1" t="s">
        <v>1103</v>
      </c>
      <c r="D265" s="1" t="s">
        <v>1103</v>
      </c>
      <c r="E265" s="1" t="s">
        <v>1104</v>
      </c>
      <c r="F265" s="1" t="s">
        <v>1622</v>
      </c>
      <c r="G265" s="1" t="s">
        <v>2490</v>
      </c>
      <c r="H265" s="1" t="s">
        <v>1103</v>
      </c>
      <c r="I265" s="1" t="s">
        <v>21</v>
      </c>
      <c r="J265" s="1" t="s">
        <v>2492</v>
      </c>
      <c r="K265" s="2">
        <v>-68.8458386</v>
      </c>
      <c r="L265" s="2">
        <v>-32.8894587</v>
      </c>
    </row>
    <row r="266">
      <c r="A266" s="1">
        <v>1353.0</v>
      </c>
      <c r="B266" s="1" t="s">
        <v>248</v>
      </c>
      <c r="C266" s="1" t="s">
        <v>1103</v>
      </c>
      <c r="D266" s="1" t="s">
        <v>1103</v>
      </c>
      <c r="E266" s="1" t="s">
        <v>1104</v>
      </c>
      <c r="F266" s="1" t="s">
        <v>1622</v>
      </c>
      <c r="G266" s="1" t="s">
        <v>2490</v>
      </c>
      <c r="H266" s="1" t="s">
        <v>1103</v>
      </c>
      <c r="I266" s="1" t="s">
        <v>21</v>
      </c>
      <c r="J266" s="1" t="s">
        <v>2492</v>
      </c>
      <c r="K266" s="2">
        <v>-68.8458386</v>
      </c>
      <c r="L266" s="2">
        <v>-32.8894587</v>
      </c>
    </row>
    <row r="267">
      <c r="A267" s="1">
        <v>1354.0</v>
      </c>
      <c r="B267" s="1" t="s">
        <v>248</v>
      </c>
      <c r="C267" s="1" t="s">
        <v>1103</v>
      </c>
      <c r="D267" s="1" t="s">
        <v>1103</v>
      </c>
      <c r="E267" s="1" t="s">
        <v>1104</v>
      </c>
      <c r="F267" s="1" t="s">
        <v>1622</v>
      </c>
      <c r="G267" s="1" t="s">
        <v>2490</v>
      </c>
      <c r="H267" s="1" t="s">
        <v>1103</v>
      </c>
      <c r="I267" s="1" t="s">
        <v>21</v>
      </c>
      <c r="J267" s="1" t="s">
        <v>2492</v>
      </c>
      <c r="K267" s="2">
        <v>-68.8458386</v>
      </c>
      <c r="L267" s="2">
        <v>-32.8894587</v>
      </c>
    </row>
    <row r="268">
      <c r="A268" s="1">
        <v>1355.0</v>
      </c>
      <c r="B268" s="1" t="s">
        <v>248</v>
      </c>
      <c r="C268" s="1" t="s">
        <v>1103</v>
      </c>
      <c r="D268" s="1" t="s">
        <v>1103</v>
      </c>
      <c r="E268" s="1" t="s">
        <v>1104</v>
      </c>
      <c r="F268" s="1" t="s">
        <v>1622</v>
      </c>
      <c r="G268" s="1" t="s">
        <v>2496</v>
      </c>
      <c r="H268" s="1" t="s">
        <v>1103</v>
      </c>
      <c r="I268" s="1" t="s">
        <v>21</v>
      </c>
      <c r="J268" s="1" t="s">
        <v>2498</v>
      </c>
      <c r="K268" s="2">
        <v>-68.8458386</v>
      </c>
      <c r="L268" s="2">
        <v>-32.8894587</v>
      </c>
    </row>
    <row r="269">
      <c r="A269" s="1">
        <v>1356.0</v>
      </c>
      <c r="B269" s="1" t="s">
        <v>248</v>
      </c>
      <c r="C269" s="1" t="s">
        <v>1103</v>
      </c>
      <c r="D269" s="1" t="s">
        <v>1103</v>
      </c>
      <c r="E269" s="1" t="s">
        <v>1104</v>
      </c>
      <c r="F269" s="1" t="s">
        <v>1622</v>
      </c>
      <c r="G269" s="1" t="s">
        <v>2501</v>
      </c>
      <c r="H269" s="1" t="s">
        <v>1103</v>
      </c>
      <c r="I269" s="1" t="s">
        <v>21</v>
      </c>
      <c r="J269" s="1" t="s">
        <v>2502</v>
      </c>
      <c r="K269" s="2">
        <v>-68.8458386</v>
      </c>
      <c r="L269" s="2">
        <v>-32.8894587</v>
      </c>
    </row>
    <row r="270">
      <c r="A270" s="1">
        <v>1358.0</v>
      </c>
      <c r="B270" s="1" t="s">
        <v>248</v>
      </c>
      <c r="C270" s="1" t="s">
        <v>1103</v>
      </c>
      <c r="D270" s="1" t="s">
        <v>1103</v>
      </c>
      <c r="E270" s="1" t="s">
        <v>1104</v>
      </c>
      <c r="F270" s="1" t="s">
        <v>1622</v>
      </c>
      <c r="G270" s="1" t="s">
        <v>2166</v>
      </c>
      <c r="H270" s="1" t="s">
        <v>1103</v>
      </c>
      <c r="I270" s="1" t="s">
        <v>21</v>
      </c>
      <c r="J270" s="1" t="s">
        <v>2503</v>
      </c>
      <c r="K270" s="2">
        <v>-68.8420336</v>
      </c>
      <c r="L270" s="2">
        <v>-32.89297640000001</v>
      </c>
    </row>
    <row r="271">
      <c r="A271" s="1">
        <v>1359.0</v>
      </c>
      <c r="B271" s="1" t="s">
        <v>248</v>
      </c>
      <c r="C271" s="1" t="s">
        <v>1103</v>
      </c>
      <c r="D271" s="1" t="s">
        <v>1103</v>
      </c>
      <c r="E271" s="1" t="s">
        <v>1104</v>
      </c>
      <c r="F271" s="1" t="s">
        <v>1622</v>
      </c>
      <c r="G271" s="1" t="s">
        <v>2504</v>
      </c>
      <c r="H271" s="1" t="s">
        <v>1103</v>
      </c>
      <c r="I271" s="1" t="s">
        <v>21</v>
      </c>
      <c r="J271" s="1" t="s">
        <v>2506</v>
      </c>
      <c r="K271" s="2">
        <v>-68.8458386</v>
      </c>
      <c r="L271" s="2">
        <v>-32.8894587</v>
      </c>
    </row>
    <row r="272">
      <c r="A272" s="1">
        <v>1447.0</v>
      </c>
      <c r="D272" s="1" t="s">
        <v>2509</v>
      </c>
      <c r="E272" s="1" t="s">
        <v>1104</v>
      </c>
      <c r="F272" s="1" t="s">
        <v>1622</v>
      </c>
      <c r="G272" s="1" t="s">
        <v>2510</v>
      </c>
      <c r="I272" s="1" t="s">
        <v>21</v>
      </c>
      <c r="J272" s="1" t="s">
        <v>2511</v>
      </c>
      <c r="K272" s="2">
        <v>-68.838724</v>
      </c>
      <c r="L272" s="2">
        <v>-32.889123</v>
      </c>
    </row>
    <row r="273">
      <c r="A273" s="1">
        <v>1448.0</v>
      </c>
      <c r="D273" s="1" t="s">
        <v>2512</v>
      </c>
      <c r="E273" s="1" t="s">
        <v>1104</v>
      </c>
      <c r="F273" s="1" t="s">
        <v>1622</v>
      </c>
      <c r="G273" s="1" t="s">
        <v>2514</v>
      </c>
      <c r="I273" s="1" t="s">
        <v>21</v>
      </c>
      <c r="J273" s="1" t="s">
        <v>2516</v>
      </c>
      <c r="K273" s="2">
        <v>-68.837893</v>
      </c>
      <c r="L273" s="2">
        <v>-32.888365</v>
      </c>
    </row>
    <row r="274">
      <c r="A274" s="1">
        <v>1449.0</v>
      </c>
      <c r="D274" s="1" t="s">
        <v>2517</v>
      </c>
      <c r="E274" s="1" t="s">
        <v>1104</v>
      </c>
      <c r="F274" s="1" t="s">
        <v>1622</v>
      </c>
      <c r="G274" s="1" t="s">
        <v>2518</v>
      </c>
      <c r="I274" s="1" t="s">
        <v>21</v>
      </c>
      <c r="J274" s="1" t="s">
        <v>2519</v>
      </c>
      <c r="K274" s="2">
        <v>-68.838724</v>
      </c>
      <c r="L274" s="2">
        <v>-32.889123</v>
      </c>
    </row>
    <row r="275">
      <c r="A275" s="1">
        <v>1450.0</v>
      </c>
      <c r="D275" s="1" t="s">
        <v>2520</v>
      </c>
      <c r="E275" s="1" t="s">
        <v>1104</v>
      </c>
      <c r="F275" s="1" t="s">
        <v>1622</v>
      </c>
      <c r="G275" s="1" t="s">
        <v>2521</v>
      </c>
      <c r="I275" s="1" t="s">
        <v>21</v>
      </c>
      <c r="J275" s="1" t="s">
        <v>2522</v>
      </c>
      <c r="K275" s="2">
        <v>-68.838724</v>
      </c>
      <c r="L275" s="2">
        <v>-32.889123</v>
      </c>
    </row>
    <row r="276">
      <c r="A276" s="1">
        <v>1451.0</v>
      </c>
      <c r="D276" s="1" t="s">
        <v>2525</v>
      </c>
      <c r="E276" s="1" t="s">
        <v>1104</v>
      </c>
      <c r="F276" s="1" t="s">
        <v>1622</v>
      </c>
      <c r="G276" s="1" t="s">
        <v>2527</v>
      </c>
      <c r="I276" s="1" t="s">
        <v>21</v>
      </c>
      <c r="J276" s="1" t="s">
        <v>2529</v>
      </c>
      <c r="K276" s="2">
        <v>-68.838724</v>
      </c>
      <c r="L276" s="2">
        <v>-32.889123</v>
      </c>
    </row>
    <row r="277">
      <c r="A277" s="1">
        <v>1452.0</v>
      </c>
      <c r="D277" s="1" t="s">
        <v>2531</v>
      </c>
      <c r="E277" s="1" t="s">
        <v>1104</v>
      </c>
      <c r="F277" s="1" t="s">
        <v>1622</v>
      </c>
      <c r="G277" s="1" t="s">
        <v>2514</v>
      </c>
      <c r="I277" s="1" t="s">
        <v>21</v>
      </c>
      <c r="J277" s="1" t="s">
        <v>2516</v>
      </c>
      <c r="K277" s="2">
        <v>-68.837893</v>
      </c>
      <c r="L277" s="2">
        <v>-32.888365</v>
      </c>
    </row>
    <row r="278">
      <c r="A278" s="1">
        <v>1453.0</v>
      </c>
      <c r="D278" s="1" t="s">
        <v>2532</v>
      </c>
      <c r="E278" s="1" t="s">
        <v>1104</v>
      </c>
      <c r="F278" s="1" t="s">
        <v>1622</v>
      </c>
      <c r="G278" s="1" t="s">
        <v>2518</v>
      </c>
      <c r="I278" s="1" t="s">
        <v>21</v>
      </c>
      <c r="J278" s="1" t="s">
        <v>2519</v>
      </c>
      <c r="K278" s="2">
        <v>-68.838724</v>
      </c>
      <c r="L278" s="2">
        <v>-32.889123</v>
      </c>
    </row>
    <row r="279">
      <c r="A279" s="1">
        <v>1454.0</v>
      </c>
      <c r="D279" s="1" t="s">
        <v>2533</v>
      </c>
      <c r="E279" s="1" t="s">
        <v>1104</v>
      </c>
      <c r="F279" s="1" t="s">
        <v>1622</v>
      </c>
      <c r="G279" s="1" t="s">
        <v>2534</v>
      </c>
      <c r="I279" s="1" t="s">
        <v>21</v>
      </c>
      <c r="J279" s="1" t="s">
        <v>2535</v>
      </c>
      <c r="K279" s="2">
        <v>-68.838724</v>
      </c>
      <c r="L279" s="2">
        <v>-32.889123</v>
      </c>
    </row>
    <row r="280">
      <c r="A280" s="1">
        <v>1455.0</v>
      </c>
      <c r="D280" s="1" t="s">
        <v>2537</v>
      </c>
      <c r="E280" s="1" t="s">
        <v>1104</v>
      </c>
      <c r="F280" s="1" t="s">
        <v>1622</v>
      </c>
      <c r="G280" s="1" t="s">
        <v>2540</v>
      </c>
      <c r="I280" s="1" t="s">
        <v>21</v>
      </c>
      <c r="J280" s="1" t="s">
        <v>2542</v>
      </c>
      <c r="K280" s="2">
        <v>-68.838724</v>
      </c>
      <c r="L280" s="2">
        <v>-32.889123</v>
      </c>
    </row>
    <row r="281">
      <c r="A281" s="1">
        <v>1456.0</v>
      </c>
      <c r="D281" s="1" t="s">
        <v>2544</v>
      </c>
      <c r="E281" s="1" t="s">
        <v>1104</v>
      </c>
      <c r="F281" s="1" t="s">
        <v>1622</v>
      </c>
      <c r="G281" s="1" t="s">
        <v>2545</v>
      </c>
      <c r="I281" s="1" t="s">
        <v>21</v>
      </c>
      <c r="J281" s="1" t="s">
        <v>2546</v>
      </c>
      <c r="K281" s="2">
        <v>-68.838724</v>
      </c>
      <c r="L281" s="2">
        <v>-32.889123</v>
      </c>
    </row>
    <row r="282">
      <c r="A282" s="1">
        <v>1461.0</v>
      </c>
      <c r="D282" s="1" t="s">
        <v>2547</v>
      </c>
      <c r="E282" s="1" t="s">
        <v>1104</v>
      </c>
      <c r="F282" s="1" t="s">
        <v>1622</v>
      </c>
      <c r="G282" s="1" t="s">
        <v>2548</v>
      </c>
      <c r="I282" s="1" t="s">
        <v>21</v>
      </c>
      <c r="J282" s="1" t="s">
        <v>2549</v>
      </c>
      <c r="K282" s="2">
        <v>-68.838724</v>
      </c>
      <c r="L282" s="2">
        <v>-32.889123</v>
      </c>
    </row>
    <row r="283">
      <c r="A283" s="1">
        <v>1462.0</v>
      </c>
      <c r="D283" s="1" t="s">
        <v>2552</v>
      </c>
      <c r="E283" s="1" t="s">
        <v>1104</v>
      </c>
      <c r="F283" s="1" t="s">
        <v>1622</v>
      </c>
      <c r="G283" s="1" t="s">
        <v>2554</v>
      </c>
      <c r="I283" s="1" t="s">
        <v>21</v>
      </c>
      <c r="J283" s="1" t="s">
        <v>2556</v>
      </c>
      <c r="K283" s="2">
        <v>-68.8380262</v>
      </c>
      <c r="L283" s="2">
        <v>-32.8886134</v>
      </c>
    </row>
    <row r="284">
      <c r="A284" s="1">
        <v>1463.0</v>
      </c>
      <c r="D284" s="1" t="s">
        <v>2557</v>
      </c>
      <c r="E284" s="1" t="s">
        <v>1104</v>
      </c>
      <c r="F284" s="1" t="s">
        <v>1622</v>
      </c>
      <c r="G284" s="1" t="s">
        <v>2558</v>
      </c>
      <c r="I284" s="1" t="s">
        <v>21</v>
      </c>
      <c r="J284" s="1" t="s">
        <v>2559</v>
      </c>
      <c r="K284" s="2">
        <v>-68.838724</v>
      </c>
      <c r="L284" s="2">
        <v>-32.889123</v>
      </c>
    </row>
    <row r="285">
      <c r="A285" s="1">
        <v>1465.0</v>
      </c>
      <c r="D285" s="1" t="s">
        <v>2561</v>
      </c>
      <c r="E285" s="1" t="s">
        <v>1104</v>
      </c>
      <c r="F285" s="1" t="s">
        <v>1622</v>
      </c>
      <c r="G285" s="1" t="s">
        <v>2562</v>
      </c>
      <c r="I285" s="1" t="s">
        <v>21</v>
      </c>
      <c r="J285" s="1" t="s">
        <v>2563</v>
      </c>
      <c r="K285" s="2">
        <v>-68.8385739</v>
      </c>
      <c r="L285" s="2">
        <v>-32.8894033</v>
      </c>
    </row>
    <row r="286">
      <c r="A286" s="1">
        <v>1470.0</v>
      </c>
      <c r="D286" s="1" t="s">
        <v>2564</v>
      </c>
      <c r="E286" s="1" t="s">
        <v>1104</v>
      </c>
      <c r="F286" s="1" t="s">
        <v>1622</v>
      </c>
      <c r="G286" s="1" t="s">
        <v>2566</v>
      </c>
      <c r="I286" s="1" t="s">
        <v>21</v>
      </c>
      <c r="J286" s="1" t="s">
        <v>2568</v>
      </c>
      <c r="K286" s="2">
        <v>-68.838724</v>
      </c>
      <c r="L286" s="2">
        <v>-32.889123</v>
      </c>
    </row>
    <row r="287">
      <c r="A287" s="1">
        <v>1471.0</v>
      </c>
      <c r="D287" s="1" t="s">
        <v>2571</v>
      </c>
      <c r="E287" s="1" t="s">
        <v>1104</v>
      </c>
      <c r="F287" s="1" t="s">
        <v>1622</v>
      </c>
      <c r="G287" s="1" t="s">
        <v>2572</v>
      </c>
      <c r="I287" s="1" t="s">
        <v>21</v>
      </c>
      <c r="J287" s="1" t="s">
        <v>2573</v>
      </c>
      <c r="K287" s="2">
        <v>-68.8431183</v>
      </c>
      <c r="L287" s="2">
        <v>-32.8979083</v>
      </c>
    </row>
    <row r="288">
      <c r="A288" s="1">
        <v>1473.0</v>
      </c>
      <c r="D288" s="1" t="s">
        <v>2574</v>
      </c>
      <c r="E288" s="1" t="s">
        <v>1104</v>
      </c>
      <c r="F288" s="1" t="s">
        <v>1622</v>
      </c>
      <c r="G288" s="1" t="s">
        <v>2575</v>
      </c>
      <c r="I288" s="1" t="s">
        <v>21</v>
      </c>
      <c r="J288" s="1" t="s">
        <v>2576</v>
      </c>
      <c r="K288" s="2">
        <v>-68.838724</v>
      </c>
      <c r="L288" s="2">
        <v>-32.889123</v>
      </c>
    </row>
    <row r="289">
      <c r="A289" s="1">
        <v>1476.0</v>
      </c>
      <c r="D289" s="1" t="s">
        <v>2577</v>
      </c>
      <c r="E289" s="1" t="s">
        <v>1104</v>
      </c>
      <c r="F289" s="1" t="s">
        <v>1622</v>
      </c>
      <c r="G289" s="1" t="s">
        <v>2578</v>
      </c>
      <c r="I289" s="1" t="s">
        <v>21</v>
      </c>
      <c r="J289" s="1" t="s">
        <v>2580</v>
      </c>
      <c r="K289" s="2">
        <v>-68.838645</v>
      </c>
      <c r="L289" s="2">
        <v>-32.8892124</v>
      </c>
    </row>
    <row r="290">
      <c r="A290" s="1">
        <v>1477.0</v>
      </c>
      <c r="D290" s="1" t="s">
        <v>2582</v>
      </c>
      <c r="E290" s="1" t="s">
        <v>1104</v>
      </c>
      <c r="F290" s="1" t="s">
        <v>1622</v>
      </c>
      <c r="G290" s="1" t="s">
        <v>2584</v>
      </c>
      <c r="I290" s="1" t="s">
        <v>21</v>
      </c>
      <c r="J290" s="1" t="s">
        <v>2587</v>
      </c>
      <c r="K290" s="2">
        <v>-68.8068493</v>
      </c>
      <c r="L290" s="2">
        <v>-32.8650336</v>
      </c>
    </row>
    <row r="291">
      <c r="A291" s="1">
        <v>1478.0</v>
      </c>
      <c r="D291" s="1" t="s">
        <v>2557</v>
      </c>
      <c r="E291" s="1" t="s">
        <v>1104</v>
      </c>
      <c r="F291" s="1" t="s">
        <v>1622</v>
      </c>
      <c r="G291" s="1" t="s">
        <v>2588</v>
      </c>
      <c r="I291" s="1" t="s">
        <v>21</v>
      </c>
      <c r="J291" s="1" t="s">
        <v>2589</v>
      </c>
      <c r="K291" s="2">
        <v>-68.838724</v>
      </c>
      <c r="L291" s="2">
        <v>-32.889123</v>
      </c>
    </row>
    <row r="292">
      <c r="A292" s="1">
        <v>1480.0</v>
      </c>
      <c r="D292" s="1" t="s">
        <v>2590</v>
      </c>
      <c r="E292" s="1" t="s">
        <v>1104</v>
      </c>
      <c r="F292" s="1" t="s">
        <v>1622</v>
      </c>
      <c r="G292" s="1" t="s">
        <v>2591</v>
      </c>
      <c r="I292" s="1" t="s">
        <v>21</v>
      </c>
      <c r="J292" s="1" t="s">
        <v>2592</v>
      </c>
      <c r="K292" s="2">
        <v>-68.838724</v>
      </c>
      <c r="L292" s="2">
        <v>-32.889123</v>
      </c>
    </row>
    <row r="293">
      <c r="A293" s="1">
        <v>1487.0</v>
      </c>
      <c r="D293" s="1" t="s">
        <v>2593</v>
      </c>
      <c r="E293" s="1" t="s">
        <v>1104</v>
      </c>
      <c r="F293" s="1" t="s">
        <v>1622</v>
      </c>
      <c r="G293" s="1" t="s">
        <v>2594</v>
      </c>
      <c r="I293" s="1" t="s">
        <v>21</v>
      </c>
      <c r="J293" s="1" t="s">
        <v>2595</v>
      </c>
      <c r="K293" s="2">
        <v>-68.8385771</v>
      </c>
      <c r="L293" s="2">
        <v>-32.8891235</v>
      </c>
    </row>
    <row r="294">
      <c r="A294" s="1">
        <v>1498.0</v>
      </c>
      <c r="D294" s="1" t="s">
        <v>2598</v>
      </c>
      <c r="E294" s="1" t="s">
        <v>1104</v>
      </c>
      <c r="F294" s="1" t="s">
        <v>1622</v>
      </c>
      <c r="G294" s="1" t="s">
        <v>2600</v>
      </c>
      <c r="I294" s="1" t="s">
        <v>21</v>
      </c>
      <c r="J294" s="1" t="s">
        <v>2602</v>
      </c>
      <c r="K294" s="2">
        <v>-68.838724</v>
      </c>
      <c r="L294" s="2">
        <v>-32.889123</v>
      </c>
    </row>
    <row r="295">
      <c r="A295" s="1">
        <v>1500.0</v>
      </c>
      <c r="D295" s="1" t="s">
        <v>2603</v>
      </c>
      <c r="E295" s="1" t="s">
        <v>1104</v>
      </c>
      <c r="F295" s="1" t="s">
        <v>1622</v>
      </c>
      <c r="G295" s="1" t="s">
        <v>2605</v>
      </c>
      <c r="I295" s="1" t="s">
        <v>21</v>
      </c>
      <c r="J295" s="1" t="s">
        <v>2606</v>
      </c>
      <c r="K295" s="2">
        <v>-68.838724</v>
      </c>
      <c r="L295" s="2">
        <v>-32.889123</v>
      </c>
    </row>
    <row r="296">
      <c r="A296" s="1">
        <v>1501.0</v>
      </c>
      <c r="D296" s="1" t="s">
        <v>2607</v>
      </c>
      <c r="E296" s="1" t="s">
        <v>1104</v>
      </c>
      <c r="F296" s="1" t="s">
        <v>1622</v>
      </c>
      <c r="G296" s="1" t="s">
        <v>2608</v>
      </c>
      <c r="I296" s="1" t="s">
        <v>21</v>
      </c>
      <c r="J296" s="1" t="s">
        <v>2609</v>
      </c>
      <c r="K296" s="2">
        <v>-68.838724</v>
      </c>
      <c r="L296" s="2">
        <v>-32.889123</v>
      </c>
    </row>
    <row r="297">
      <c r="A297" s="1">
        <v>1502.0</v>
      </c>
      <c r="D297" s="1" t="s">
        <v>2610</v>
      </c>
      <c r="E297" s="1" t="s">
        <v>1104</v>
      </c>
      <c r="F297" s="1" t="s">
        <v>1622</v>
      </c>
      <c r="G297" s="1" t="s">
        <v>2612</v>
      </c>
      <c r="I297" s="1" t="s">
        <v>21</v>
      </c>
      <c r="J297" s="1" t="s">
        <v>2613</v>
      </c>
      <c r="K297" s="2">
        <v>-68.838724</v>
      </c>
      <c r="L297" s="2">
        <v>-32.889123</v>
      </c>
    </row>
    <row r="298">
      <c r="A298" s="1">
        <v>1506.0</v>
      </c>
      <c r="D298" s="1" t="s">
        <v>2617</v>
      </c>
      <c r="E298" s="1" t="s">
        <v>1104</v>
      </c>
      <c r="F298" s="1" t="s">
        <v>1622</v>
      </c>
      <c r="G298" s="1" t="s">
        <v>2618</v>
      </c>
      <c r="I298" s="1" t="s">
        <v>21</v>
      </c>
      <c r="J298" s="1" t="s">
        <v>2619</v>
      </c>
      <c r="K298" s="2">
        <v>-68.838724</v>
      </c>
      <c r="L298" s="2">
        <v>-32.889123</v>
      </c>
    </row>
    <row r="299">
      <c r="A299" s="1">
        <v>1509.0</v>
      </c>
      <c r="D299" s="1" t="s">
        <v>2620</v>
      </c>
      <c r="E299" s="1" t="s">
        <v>1104</v>
      </c>
      <c r="F299" s="1" t="s">
        <v>1622</v>
      </c>
      <c r="G299" s="1" t="s">
        <v>2621</v>
      </c>
      <c r="I299" s="1" t="s">
        <v>21</v>
      </c>
      <c r="J299" s="1" t="s">
        <v>2622</v>
      </c>
      <c r="K299" s="2">
        <v>-68.8414817</v>
      </c>
      <c r="L299" s="2">
        <v>-32.8975482</v>
      </c>
    </row>
    <row r="300">
      <c r="A300" s="1">
        <v>1510.0</v>
      </c>
      <c r="D300" s="1" t="s">
        <v>2625</v>
      </c>
      <c r="E300" s="1" t="s">
        <v>1104</v>
      </c>
      <c r="F300" s="1" t="s">
        <v>1622</v>
      </c>
      <c r="G300" s="1" t="s">
        <v>2627</v>
      </c>
      <c r="I300" s="1" t="s">
        <v>21</v>
      </c>
      <c r="J300" s="1" t="s">
        <v>2629</v>
      </c>
      <c r="K300" s="2">
        <v>-68.83146769999999</v>
      </c>
      <c r="L300" s="2">
        <v>-32.8752469</v>
      </c>
    </row>
    <row r="301">
      <c r="A301" s="1">
        <v>1511.0</v>
      </c>
      <c r="D301" s="1" t="s">
        <v>2631</v>
      </c>
      <c r="E301" s="1" t="s">
        <v>1104</v>
      </c>
      <c r="F301" s="1" t="s">
        <v>1622</v>
      </c>
      <c r="G301" s="1" t="s">
        <v>2632</v>
      </c>
      <c r="I301" s="1" t="s">
        <v>21</v>
      </c>
      <c r="J301" s="1" t="s">
        <v>2633</v>
      </c>
      <c r="K301" s="2">
        <v>-68.8378727</v>
      </c>
      <c r="L301" s="2">
        <v>-32.8874281</v>
      </c>
    </row>
    <row r="302">
      <c r="A302" s="1">
        <v>1513.0</v>
      </c>
      <c r="D302" s="1" t="s">
        <v>2634</v>
      </c>
      <c r="E302" s="1" t="s">
        <v>1104</v>
      </c>
      <c r="F302" s="1" t="s">
        <v>1622</v>
      </c>
      <c r="G302" s="1" t="s">
        <v>2635</v>
      </c>
      <c r="I302" s="1" t="s">
        <v>21</v>
      </c>
      <c r="J302" s="1" t="s">
        <v>2636</v>
      </c>
      <c r="K302" s="2">
        <v>-68.8384789</v>
      </c>
      <c r="L302" s="2">
        <v>-32.888044</v>
      </c>
    </row>
    <row r="303">
      <c r="A303" s="1">
        <v>1514.0</v>
      </c>
      <c r="D303" s="1" t="s">
        <v>2637</v>
      </c>
      <c r="E303" s="1" t="s">
        <v>1104</v>
      </c>
      <c r="F303" s="1" t="s">
        <v>1622</v>
      </c>
      <c r="G303" s="1" t="s">
        <v>2638</v>
      </c>
      <c r="I303" s="1" t="s">
        <v>21</v>
      </c>
      <c r="J303" s="1" t="s">
        <v>2640</v>
      </c>
      <c r="K303" s="2">
        <v>-68.8072798</v>
      </c>
      <c r="L303" s="2">
        <v>-32.8555617</v>
      </c>
    </row>
    <row r="304">
      <c r="A304" s="1">
        <v>1516.0</v>
      </c>
      <c r="D304" s="1" t="s">
        <v>2643</v>
      </c>
      <c r="E304" s="1" t="s">
        <v>1104</v>
      </c>
      <c r="F304" s="1" t="s">
        <v>1622</v>
      </c>
      <c r="G304" s="1" t="s">
        <v>2645</v>
      </c>
      <c r="I304" s="1" t="s">
        <v>21</v>
      </c>
      <c r="J304" s="1" t="s">
        <v>2646</v>
      </c>
      <c r="K304" s="2">
        <v>-68.83888499999999</v>
      </c>
      <c r="L304" s="2">
        <v>-32.8878402</v>
      </c>
    </row>
    <row r="305">
      <c r="A305" s="1">
        <v>1519.0</v>
      </c>
      <c r="D305" s="1" t="s">
        <v>2647</v>
      </c>
      <c r="E305" s="1" t="s">
        <v>1104</v>
      </c>
      <c r="F305" s="1" t="s">
        <v>1622</v>
      </c>
      <c r="G305" s="1" t="s">
        <v>2648</v>
      </c>
      <c r="I305" s="1" t="s">
        <v>21</v>
      </c>
      <c r="J305" s="1" t="s">
        <v>2650</v>
      </c>
      <c r="K305" s="2">
        <v>-68.8384789</v>
      </c>
      <c r="L305" s="2">
        <v>-32.888044</v>
      </c>
    </row>
    <row r="306">
      <c r="A306" s="1">
        <v>1520.0</v>
      </c>
      <c r="D306" s="1" t="s">
        <v>2651</v>
      </c>
      <c r="E306" s="1" t="s">
        <v>1104</v>
      </c>
      <c r="F306" s="1" t="s">
        <v>1622</v>
      </c>
      <c r="G306" s="1" t="s">
        <v>2652</v>
      </c>
      <c r="I306" s="1" t="s">
        <v>21</v>
      </c>
      <c r="J306" s="1" t="s">
        <v>2653</v>
      </c>
      <c r="K306" s="2">
        <v>-68.8384789</v>
      </c>
      <c r="L306" s="2">
        <v>-32.888044</v>
      </c>
    </row>
    <row r="307">
      <c r="A307" s="1">
        <v>1521.0</v>
      </c>
      <c r="D307" s="1" t="s">
        <v>2654</v>
      </c>
      <c r="E307" s="1" t="s">
        <v>1104</v>
      </c>
      <c r="F307" s="1" t="s">
        <v>1622</v>
      </c>
      <c r="G307" s="1" t="s">
        <v>2656</v>
      </c>
      <c r="I307" s="1" t="s">
        <v>21</v>
      </c>
      <c r="J307" s="1" t="s">
        <v>2657</v>
      </c>
      <c r="K307" s="2">
        <v>-68.8384789</v>
      </c>
      <c r="L307" s="2">
        <v>-32.888044</v>
      </c>
    </row>
    <row r="308">
      <c r="A308" s="1">
        <v>1522.0</v>
      </c>
      <c r="D308" s="1" t="s">
        <v>2661</v>
      </c>
      <c r="E308" s="1" t="s">
        <v>1104</v>
      </c>
      <c r="F308" s="1" t="s">
        <v>1622</v>
      </c>
      <c r="G308" s="1" t="s">
        <v>2662</v>
      </c>
      <c r="I308" s="1" t="s">
        <v>21</v>
      </c>
      <c r="J308" s="1" t="s">
        <v>2663</v>
      </c>
      <c r="K308" s="2">
        <v>-68.8384789</v>
      </c>
      <c r="L308" s="2">
        <v>-32.888044</v>
      </c>
    </row>
    <row r="309">
      <c r="A309" s="1">
        <v>1523.0</v>
      </c>
      <c r="D309" s="1" t="s">
        <v>2634</v>
      </c>
      <c r="E309" s="1" t="s">
        <v>1104</v>
      </c>
      <c r="F309" s="1" t="s">
        <v>1622</v>
      </c>
      <c r="G309" s="1" t="s">
        <v>2665</v>
      </c>
      <c r="I309" s="1" t="s">
        <v>21</v>
      </c>
      <c r="J309" s="1" t="s">
        <v>2666</v>
      </c>
      <c r="K309" s="2">
        <v>-68.83860299999999</v>
      </c>
      <c r="L309" s="2">
        <v>-32.887887</v>
      </c>
    </row>
    <row r="310">
      <c r="A310" s="1">
        <v>1524.0</v>
      </c>
      <c r="D310" s="1" t="s">
        <v>2667</v>
      </c>
      <c r="E310" s="1" t="s">
        <v>1104</v>
      </c>
      <c r="F310" s="1" t="s">
        <v>1622</v>
      </c>
      <c r="G310" s="1" t="s">
        <v>2668</v>
      </c>
      <c r="I310" s="1" t="s">
        <v>21</v>
      </c>
      <c r="J310" s="1" t="s">
        <v>2669</v>
      </c>
      <c r="K310" s="2">
        <v>-68.839246</v>
      </c>
      <c r="L310" s="2">
        <v>-32.890553</v>
      </c>
    </row>
    <row r="311">
      <c r="A311" s="1">
        <v>1525.0</v>
      </c>
      <c r="D311" s="1" t="s">
        <v>2670</v>
      </c>
      <c r="E311" s="1" t="s">
        <v>1104</v>
      </c>
      <c r="F311" s="1" t="s">
        <v>1622</v>
      </c>
      <c r="G311" s="1" t="s">
        <v>2671</v>
      </c>
      <c r="I311" s="1" t="s">
        <v>21</v>
      </c>
      <c r="J311" s="1" t="s">
        <v>2672</v>
      </c>
      <c r="K311" s="2">
        <v>-68.8384789</v>
      </c>
      <c r="L311" s="2">
        <v>-32.888044</v>
      </c>
    </row>
    <row r="312">
      <c r="A312" s="1">
        <v>1527.0</v>
      </c>
      <c r="D312" s="1" t="s">
        <v>2674</v>
      </c>
      <c r="E312" s="1" t="s">
        <v>1104</v>
      </c>
      <c r="F312" s="1" t="s">
        <v>1622</v>
      </c>
      <c r="G312" s="1" t="s">
        <v>2676</v>
      </c>
      <c r="I312" s="1" t="s">
        <v>21</v>
      </c>
      <c r="J312" s="1" t="s">
        <v>2678</v>
      </c>
      <c r="K312" s="2">
        <v>-68.8405866</v>
      </c>
      <c r="L312" s="2">
        <v>-32.8876594</v>
      </c>
    </row>
    <row r="313">
      <c r="A313" s="1">
        <v>1528.0</v>
      </c>
      <c r="D313" s="1" t="s">
        <v>2680</v>
      </c>
      <c r="E313" s="1" t="s">
        <v>1104</v>
      </c>
      <c r="F313" s="1" t="s">
        <v>1622</v>
      </c>
      <c r="G313" s="1" t="s">
        <v>2681</v>
      </c>
      <c r="I313" s="1" t="s">
        <v>21</v>
      </c>
      <c r="J313" s="1" t="s">
        <v>2682</v>
      </c>
      <c r="K313" s="2">
        <v>-68.8380284</v>
      </c>
      <c r="L313" s="2">
        <v>-32.8879454</v>
      </c>
    </row>
    <row r="314">
      <c r="A314" s="1">
        <v>1529.0</v>
      </c>
      <c r="D314" s="1" t="s">
        <v>2683</v>
      </c>
      <c r="E314" s="1" t="s">
        <v>1104</v>
      </c>
      <c r="F314" s="1" t="s">
        <v>1622</v>
      </c>
      <c r="G314" s="1" t="s">
        <v>2684</v>
      </c>
      <c r="I314" s="1" t="s">
        <v>21</v>
      </c>
      <c r="J314" s="1" t="s">
        <v>2685</v>
      </c>
      <c r="K314" s="2">
        <v>-68.83845769999999</v>
      </c>
      <c r="L314" s="2">
        <v>-32.8878915</v>
      </c>
    </row>
    <row r="315">
      <c r="A315" s="1">
        <v>1530.0</v>
      </c>
      <c r="D315" s="1" t="s">
        <v>2686</v>
      </c>
      <c r="E315" s="1" t="s">
        <v>1104</v>
      </c>
      <c r="F315" s="1" t="s">
        <v>1622</v>
      </c>
      <c r="G315" s="1" t="s">
        <v>2688</v>
      </c>
      <c r="I315" s="1" t="s">
        <v>21</v>
      </c>
      <c r="J315" s="1" t="s">
        <v>2690</v>
      </c>
      <c r="K315" s="2">
        <v>-68.777129</v>
      </c>
      <c r="L315" s="2">
        <v>-32.910609</v>
      </c>
    </row>
    <row r="316">
      <c r="A316" s="1">
        <v>1531.0</v>
      </c>
      <c r="D316" s="1" t="s">
        <v>2693</v>
      </c>
      <c r="E316" s="1" t="s">
        <v>1104</v>
      </c>
      <c r="F316" s="1" t="s">
        <v>1622</v>
      </c>
      <c r="G316" s="1" t="s">
        <v>2694</v>
      </c>
      <c r="I316" s="1" t="s">
        <v>21</v>
      </c>
      <c r="J316" s="1" t="s">
        <v>2695</v>
      </c>
      <c r="K316" s="2">
        <v>-68.8385019</v>
      </c>
      <c r="L316" s="2">
        <v>-32.887938</v>
      </c>
    </row>
    <row r="317">
      <c r="A317" s="1">
        <v>1532.0</v>
      </c>
      <c r="D317" s="1" t="s">
        <v>2696</v>
      </c>
      <c r="E317" s="1" t="s">
        <v>1104</v>
      </c>
      <c r="F317" s="1" t="s">
        <v>1622</v>
      </c>
      <c r="G317" s="1" t="s">
        <v>2697</v>
      </c>
      <c r="I317" s="1" t="s">
        <v>21</v>
      </c>
      <c r="J317" s="1" t="s">
        <v>2698</v>
      </c>
      <c r="K317" s="2">
        <v>-68.8385019</v>
      </c>
      <c r="L317" s="2">
        <v>-32.887938</v>
      </c>
    </row>
    <row r="318">
      <c r="A318" s="1">
        <v>1533.0</v>
      </c>
      <c r="D318" s="1" t="s">
        <v>2699</v>
      </c>
      <c r="E318" s="1" t="s">
        <v>1104</v>
      </c>
      <c r="F318" s="1" t="s">
        <v>1622</v>
      </c>
      <c r="G318" s="1" t="s">
        <v>2700</v>
      </c>
      <c r="I318" s="1" t="s">
        <v>21</v>
      </c>
      <c r="J318" s="1" t="s">
        <v>2701</v>
      </c>
      <c r="K318" s="2">
        <v>-68.8384789</v>
      </c>
      <c r="L318" s="2">
        <v>-32.888044</v>
      </c>
    </row>
    <row r="319">
      <c r="A319" s="1">
        <v>1534.0</v>
      </c>
      <c r="D319" s="1" t="s">
        <v>2703</v>
      </c>
      <c r="E319" s="1" t="s">
        <v>1104</v>
      </c>
      <c r="F319" s="1" t="s">
        <v>1622</v>
      </c>
      <c r="G319" s="1" t="s">
        <v>2705</v>
      </c>
      <c r="I319" s="1" t="s">
        <v>21</v>
      </c>
      <c r="J319" s="1" t="s">
        <v>2707</v>
      </c>
      <c r="K319" s="2">
        <v>-68.8384789</v>
      </c>
      <c r="L319" s="2">
        <v>-32.888044</v>
      </c>
    </row>
    <row r="320">
      <c r="A320" s="1">
        <v>1535.0</v>
      </c>
      <c r="D320" s="1" t="s">
        <v>2709</v>
      </c>
      <c r="E320" s="1" t="s">
        <v>1104</v>
      </c>
      <c r="F320" s="1" t="s">
        <v>1622</v>
      </c>
      <c r="G320" s="1" t="s">
        <v>2710</v>
      </c>
      <c r="I320" s="1" t="s">
        <v>21</v>
      </c>
      <c r="J320" s="1" t="s">
        <v>2711</v>
      </c>
      <c r="K320" s="2">
        <v>-68.8384789</v>
      </c>
      <c r="L320" s="2">
        <v>-32.888044</v>
      </c>
    </row>
    <row r="321">
      <c r="A321" s="1">
        <v>1536.0</v>
      </c>
      <c r="D321" s="1" t="s">
        <v>2712</v>
      </c>
      <c r="E321" s="1" t="s">
        <v>1104</v>
      </c>
      <c r="F321" s="1" t="s">
        <v>1622</v>
      </c>
      <c r="G321" s="1" t="s">
        <v>2713</v>
      </c>
      <c r="I321" s="1" t="s">
        <v>21</v>
      </c>
      <c r="J321" s="1" t="s">
        <v>2714</v>
      </c>
      <c r="K321" s="2">
        <v>-68.8385019</v>
      </c>
      <c r="L321" s="2">
        <v>-32.887938</v>
      </c>
    </row>
    <row r="322">
      <c r="A322" s="1">
        <v>1537.0</v>
      </c>
      <c r="D322" s="1" t="s">
        <v>2715</v>
      </c>
      <c r="E322" s="1" t="s">
        <v>1104</v>
      </c>
      <c r="F322" s="1" t="s">
        <v>1622</v>
      </c>
      <c r="G322" s="1" t="s">
        <v>2716</v>
      </c>
      <c r="I322" s="1" t="s">
        <v>21</v>
      </c>
      <c r="J322" s="1" t="s">
        <v>2717</v>
      </c>
      <c r="K322" s="2">
        <v>-68.462446</v>
      </c>
      <c r="L322" s="2">
        <v>-33.086187</v>
      </c>
    </row>
    <row r="323">
      <c r="A323" s="1">
        <v>1539.0</v>
      </c>
      <c r="D323" s="1" t="s">
        <v>2718</v>
      </c>
      <c r="E323" s="1" t="s">
        <v>1104</v>
      </c>
      <c r="F323" s="1" t="s">
        <v>1622</v>
      </c>
      <c r="G323" s="1" t="s">
        <v>2719</v>
      </c>
      <c r="I323" s="1" t="s">
        <v>21</v>
      </c>
      <c r="J323" s="1" t="s">
        <v>2720</v>
      </c>
      <c r="K323" s="2">
        <v>-68.8384789</v>
      </c>
      <c r="L323" s="2">
        <v>-32.888044</v>
      </c>
    </row>
    <row r="324">
      <c r="A324" s="1">
        <v>1540.0</v>
      </c>
      <c r="D324" s="1" t="s">
        <v>2721</v>
      </c>
      <c r="E324" s="1" t="s">
        <v>1104</v>
      </c>
      <c r="F324" s="1" t="s">
        <v>1622</v>
      </c>
      <c r="G324" s="1" t="s">
        <v>2722</v>
      </c>
      <c r="I324" s="1" t="s">
        <v>21</v>
      </c>
      <c r="J324" s="1" t="s">
        <v>2723</v>
      </c>
      <c r="K324" s="2">
        <v>-68.8384789</v>
      </c>
      <c r="L324" s="2">
        <v>-32.888044</v>
      </c>
    </row>
    <row r="325">
      <c r="A325" s="1">
        <v>1541.0</v>
      </c>
      <c r="D325" s="1" t="s">
        <v>2724</v>
      </c>
      <c r="E325" s="1" t="s">
        <v>1104</v>
      </c>
      <c r="F325" s="1" t="s">
        <v>1622</v>
      </c>
      <c r="G325" s="1" t="s">
        <v>2725</v>
      </c>
      <c r="I325" s="1" t="s">
        <v>21</v>
      </c>
      <c r="J325" s="1" t="s">
        <v>2726</v>
      </c>
      <c r="K325" s="2">
        <v>-68.8384789</v>
      </c>
      <c r="L325" s="2">
        <v>-32.888044</v>
      </c>
    </row>
    <row r="326">
      <c r="A326" s="1">
        <v>1542.0</v>
      </c>
      <c r="D326" s="1" t="s">
        <v>2727</v>
      </c>
      <c r="E326" s="1" t="s">
        <v>1104</v>
      </c>
      <c r="F326" s="1" t="s">
        <v>1622</v>
      </c>
      <c r="G326" s="1" t="s">
        <v>2728</v>
      </c>
      <c r="I326" s="1" t="s">
        <v>21</v>
      </c>
      <c r="J326" s="1" t="s">
        <v>2729</v>
      </c>
      <c r="K326" s="2">
        <v>-68.8385019</v>
      </c>
      <c r="L326" s="2">
        <v>-32.887938</v>
      </c>
    </row>
    <row r="327">
      <c r="A327" s="1">
        <v>1543.0</v>
      </c>
      <c r="D327" s="1" t="s">
        <v>2730</v>
      </c>
      <c r="E327" s="1" t="s">
        <v>1104</v>
      </c>
      <c r="F327" s="1" t="s">
        <v>1622</v>
      </c>
      <c r="G327" s="1" t="s">
        <v>2731</v>
      </c>
      <c r="I327" s="1" t="s">
        <v>21</v>
      </c>
      <c r="J327" s="1" t="s">
        <v>2732</v>
      </c>
      <c r="K327" s="2">
        <v>-68.8072798</v>
      </c>
      <c r="L327" s="2">
        <v>-32.8555617</v>
      </c>
    </row>
    <row r="328">
      <c r="A328" s="1">
        <v>1548.0</v>
      </c>
      <c r="D328" s="1" t="s">
        <v>2733</v>
      </c>
      <c r="E328" s="1" t="s">
        <v>1104</v>
      </c>
      <c r="F328" s="1" t="s">
        <v>1622</v>
      </c>
      <c r="G328" s="1" t="s">
        <v>2734</v>
      </c>
      <c r="I328" s="1" t="s">
        <v>21</v>
      </c>
      <c r="J328" s="1" t="s">
        <v>2735</v>
      </c>
      <c r="K328" s="2">
        <v>-68.848492</v>
      </c>
      <c r="L328" s="2">
        <v>-32.8852122</v>
      </c>
    </row>
    <row r="329">
      <c r="A329" s="1">
        <v>1549.0</v>
      </c>
      <c r="D329" s="1" t="s">
        <v>2596</v>
      </c>
      <c r="E329" s="1" t="s">
        <v>1104</v>
      </c>
      <c r="F329" s="1" t="s">
        <v>1622</v>
      </c>
      <c r="G329" s="1" t="s">
        <v>2736</v>
      </c>
      <c r="I329" s="1" t="s">
        <v>21</v>
      </c>
      <c r="J329" s="1" t="s">
        <v>2737</v>
      </c>
      <c r="K329" s="2">
        <v>-68.84841949999999</v>
      </c>
      <c r="L329" s="2">
        <v>-32.8850944</v>
      </c>
    </row>
    <row r="330">
      <c r="A330" s="1">
        <v>1550.0</v>
      </c>
      <c r="D330" s="1" t="s">
        <v>2738</v>
      </c>
      <c r="E330" s="1" t="s">
        <v>1104</v>
      </c>
      <c r="F330" s="1" t="s">
        <v>1622</v>
      </c>
      <c r="G330" s="1" t="s">
        <v>2739</v>
      </c>
      <c r="I330" s="1" t="s">
        <v>21</v>
      </c>
      <c r="J330" s="1" t="s">
        <v>2740</v>
      </c>
      <c r="K330" s="2">
        <v>-68.8386484</v>
      </c>
      <c r="L330" s="2">
        <v>-32.8884161</v>
      </c>
    </row>
    <row r="331">
      <c r="A331" s="1">
        <v>1552.0</v>
      </c>
      <c r="D331" s="1" t="s">
        <v>2741</v>
      </c>
      <c r="E331" s="1" t="s">
        <v>1104</v>
      </c>
      <c r="F331" s="1" t="s">
        <v>1622</v>
      </c>
      <c r="G331" s="1" t="s">
        <v>2742</v>
      </c>
      <c r="I331" s="1" t="s">
        <v>21</v>
      </c>
      <c r="J331" s="1" t="s">
        <v>2743</v>
      </c>
      <c r="K331" s="2">
        <v>-68.829809</v>
      </c>
      <c r="L331" s="2">
        <v>-32.8873957</v>
      </c>
    </row>
    <row r="332">
      <c r="A332" s="1">
        <v>1553.0</v>
      </c>
      <c r="D332" s="1" t="s">
        <v>2744</v>
      </c>
      <c r="E332" s="1" t="s">
        <v>1104</v>
      </c>
      <c r="F332" s="1" t="s">
        <v>1622</v>
      </c>
      <c r="G332" s="1" t="s">
        <v>2745</v>
      </c>
      <c r="I332" s="1" t="s">
        <v>21</v>
      </c>
      <c r="J332" s="1" t="s">
        <v>2746</v>
      </c>
      <c r="K332" s="2">
        <v>-68.8377813</v>
      </c>
      <c r="L332" s="2">
        <v>-32.8874315</v>
      </c>
    </row>
    <row r="333">
      <c r="A333" s="1">
        <v>1554.0</v>
      </c>
      <c r="D333" s="1" t="s">
        <v>2747</v>
      </c>
      <c r="E333" s="1" t="s">
        <v>1104</v>
      </c>
      <c r="F333" s="1" t="s">
        <v>1622</v>
      </c>
      <c r="G333" s="1" t="s">
        <v>2748</v>
      </c>
      <c r="I333" s="1" t="s">
        <v>21</v>
      </c>
      <c r="J333" s="1" t="s">
        <v>2749</v>
      </c>
      <c r="K333" s="2">
        <v>-68.8377813</v>
      </c>
      <c r="L333" s="2">
        <v>-32.8874315</v>
      </c>
    </row>
    <row r="334">
      <c r="A334" s="1">
        <v>1555.0</v>
      </c>
      <c r="D334" s="1" t="s">
        <v>2750</v>
      </c>
      <c r="E334" s="1" t="s">
        <v>1104</v>
      </c>
      <c r="F334" s="1" t="s">
        <v>1622</v>
      </c>
      <c r="G334" s="1" t="s">
        <v>2751</v>
      </c>
      <c r="I334" s="1" t="s">
        <v>21</v>
      </c>
      <c r="J334" s="1" t="s">
        <v>2752</v>
      </c>
      <c r="K334" s="2">
        <v>-68.8405866</v>
      </c>
      <c r="L334" s="2">
        <v>-32.8876594</v>
      </c>
    </row>
    <row r="335">
      <c r="A335" s="1">
        <v>1557.0</v>
      </c>
      <c r="D335" s="1" t="s">
        <v>2753</v>
      </c>
      <c r="E335" s="1" t="s">
        <v>1104</v>
      </c>
      <c r="F335" s="1" t="s">
        <v>1622</v>
      </c>
      <c r="G335" s="1" t="s">
        <v>2754</v>
      </c>
      <c r="I335" s="1" t="s">
        <v>21</v>
      </c>
      <c r="J335" s="1" t="s">
        <v>2755</v>
      </c>
      <c r="K335" s="2">
        <v>-68.8405866</v>
      </c>
      <c r="L335" s="2">
        <v>-32.8876594</v>
      </c>
    </row>
    <row r="336">
      <c r="A336" s="1">
        <v>1558.0</v>
      </c>
      <c r="D336" s="1" t="s">
        <v>2756</v>
      </c>
      <c r="E336" s="1" t="s">
        <v>1104</v>
      </c>
      <c r="F336" s="1" t="s">
        <v>1622</v>
      </c>
      <c r="G336" s="1" t="s">
        <v>2757</v>
      </c>
      <c r="I336" s="1" t="s">
        <v>21</v>
      </c>
      <c r="J336" s="1" t="s">
        <v>2758</v>
      </c>
      <c r="K336" s="2">
        <v>-68.840977</v>
      </c>
      <c r="L336" s="2">
        <v>-32.899142</v>
      </c>
    </row>
    <row r="337">
      <c r="A337" s="1">
        <v>1560.0</v>
      </c>
      <c r="D337" s="1" t="s">
        <v>2759</v>
      </c>
      <c r="E337" s="1" t="s">
        <v>1104</v>
      </c>
      <c r="F337" s="1" t="s">
        <v>1622</v>
      </c>
      <c r="G337" s="1" t="s">
        <v>2760</v>
      </c>
      <c r="I337" s="1" t="s">
        <v>21</v>
      </c>
      <c r="J337" s="1" t="s">
        <v>2761</v>
      </c>
      <c r="K337" s="2">
        <v>-68.84841949999999</v>
      </c>
      <c r="L337" s="2">
        <v>-32.8850944</v>
      </c>
    </row>
    <row r="338">
      <c r="A338" s="1">
        <v>1561.0</v>
      </c>
      <c r="D338" s="1" t="s">
        <v>2762</v>
      </c>
      <c r="E338" s="1" t="s">
        <v>1104</v>
      </c>
      <c r="F338" s="1" t="s">
        <v>1622</v>
      </c>
      <c r="G338" s="1" t="s">
        <v>2763</v>
      </c>
      <c r="I338" s="1" t="s">
        <v>21</v>
      </c>
      <c r="J338" s="1" t="s">
        <v>2764</v>
      </c>
      <c r="K338" s="2">
        <v>-68.777129</v>
      </c>
      <c r="L338" s="2">
        <v>-32.910609</v>
      </c>
    </row>
    <row r="339">
      <c r="A339" s="1">
        <v>1562.0</v>
      </c>
      <c r="D339" s="1" t="s">
        <v>2765</v>
      </c>
      <c r="E339" s="1" t="s">
        <v>1104</v>
      </c>
      <c r="F339" s="1" t="s">
        <v>1622</v>
      </c>
      <c r="G339" s="1" t="s">
        <v>2766</v>
      </c>
      <c r="I339" s="1" t="s">
        <v>21</v>
      </c>
      <c r="J339" s="1" t="s">
        <v>2767</v>
      </c>
      <c r="K339" s="2">
        <v>-68.8405866</v>
      </c>
      <c r="L339" s="2">
        <v>-32.8876594</v>
      </c>
    </row>
    <row r="340">
      <c r="A340" s="1">
        <v>1564.0</v>
      </c>
      <c r="D340" s="1" t="s">
        <v>2768</v>
      </c>
      <c r="E340" s="1" t="s">
        <v>1104</v>
      </c>
      <c r="F340" s="1" t="s">
        <v>1622</v>
      </c>
      <c r="G340" s="1" t="s">
        <v>2769</v>
      </c>
      <c r="I340" s="1" t="s">
        <v>21</v>
      </c>
      <c r="J340" s="1" t="s">
        <v>2770</v>
      </c>
      <c r="K340" s="2">
        <v>-68.83832</v>
      </c>
      <c r="L340" s="2">
        <v>-32.8870274</v>
      </c>
    </row>
    <row r="341">
      <c r="A341" s="1">
        <v>1567.0</v>
      </c>
      <c r="D341" s="1" t="s">
        <v>2771</v>
      </c>
      <c r="E341" s="1" t="s">
        <v>1104</v>
      </c>
      <c r="F341" s="1" t="s">
        <v>1622</v>
      </c>
      <c r="G341" s="1" t="s">
        <v>2772</v>
      </c>
      <c r="I341" s="1" t="s">
        <v>21</v>
      </c>
      <c r="J341" s="1" t="s">
        <v>2773</v>
      </c>
      <c r="K341" s="2">
        <v>-68.8377813</v>
      </c>
      <c r="L341" s="2">
        <v>-32.8874315</v>
      </c>
    </row>
    <row r="342">
      <c r="A342" s="1">
        <v>1568.0</v>
      </c>
      <c r="D342" s="1" t="s">
        <v>2774</v>
      </c>
      <c r="E342" s="1" t="s">
        <v>1104</v>
      </c>
      <c r="F342" s="1" t="s">
        <v>1622</v>
      </c>
      <c r="G342" s="1" t="s">
        <v>2775</v>
      </c>
      <c r="I342" s="1" t="s">
        <v>21</v>
      </c>
      <c r="J342" s="1" t="s">
        <v>2776</v>
      </c>
      <c r="K342" s="2">
        <v>-68.854074</v>
      </c>
      <c r="L342" s="2">
        <v>-32.918082</v>
      </c>
    </row>
    <row r="343">
      <c r="A343" s="1">
        <v>1569.0</v>
      </c>
      <c r="D343" s="1" t="s">
        <v>2771</v>
      </c>
      <c r="E343" s="1" t="s">
        <v>1104</v>
      </c>
      <c r="F343" s="1" t="s">
        <v>1622</v>
      </c>
      <c r="G343" s="1" t="s">
        <v>2777</v>
      </c>
      <c r="I343" s="1" t="s">
        <v>21</v>
      </c>
      <c r="J343" s="1" t="s">
        <v>2778</v>
      </c>
      <c r="K343" s="2">
        <v>-68.83832</v>
      </c>
      <c r="L343" s="2">
        <v>-32.8870274</v>
      </c>
    </row>
    <row r="344">
      <c r="A344" s="1">
        <v>1570.0</v>
      </c>
      <c r="D344" s="1" t="s">
        <v>2779</v>
      </c>
      <c r="E344" s="1" t="s">
        <v>1104</v>
      </c>
      <c r="F344" s="1" t="s">
        <v>1622</v>
      </c>
      <c r="G344" s="1" t="s">
        <v>2780</v>
      </c>
      <c r="I344" s="1" t="s">
        <v>21</v>
      </c>
      <c r="J344" s="1" t="s">
        <v>2781</v>
      </c>
      <c r="K344" s="2">
        <v>-68.8377813</v>
      </c>
      <c r="L344" s="2">
        <v>-32.8874315</v>
      </c>
    </row>
    <row r="345">
      <c r="A345" s="1">
        <v>1572.0</v>
      </c>
      <c r="D345" s="1" t="s">
        <v>2782</v>
      </c>
      <c r="E345" s="1" t="s">
        <v>1104</v>
      </c>
      <c r="F345" s="1" t="s">
        <v>1622</v>
      </c>
      <c r="G345" s="1" t="s">
        <v>2783</v>
      </c>
      <c r="I345" s="1" t="s">
        <v>21</v>
      </c>
      <c r="J345" s="1" t="s">
        <v>2784</v>
      </c>
      <c r="K345" s="2">
        <v>-68.8377813</v>
      </c>
      <c r="L345" s="2">
        <v>-32.8874315</v>
      </c>
    </row>
    <row r="346">
      <c r="A346" s="1">
        <v>1582.0</v>
      </c>
      <c r="D346" s="1" t="s">
        <v>2785</v>
      </c>
      <c r="E346" s="1" t="s">
        <v>1104</v>
      </c>
      <c r="F346" s="1" t="s">
        <v>1622</v>
      </c>
      <c r="G346" s="1" t="s">
        <v>2786</v>
      </c>
      <c r="I346" s="1" t="s">
        <v>21</v>
      </c>
      <c r="J346" s="1" t="s">
        <v>2787</v>
      </c>
      <c r="K346" s="2">
        <v>-68.8379358</v>
      </c>
      <c r="L346" s="2">
        <v>-32.8844478</v>
      </c>
    </row>
    <row r="347">
      <c r="A347" s="1">
        <v>1596.0</v>
      </c>
      <c r="D347" s="1" t="s">
        <v>2788</v>
      </c>
      <c r="E347" s="1" t="s">
        <v>1104</v>
      </c>
      <c r="F347" s="1" t="s">
        <v>1622</v>
      </c>
      <c r="G347" s="1" t="s">
        <v>2789</v>
      </c>
      <c r="I347" s="1" t="s">
        <v>21</v>
      </c>
      <c r="J347" s="1" t="s">
        <v>2790</v>
      </c>
      <c r="K347" s="2">
        <v>-68.8395215</v>
      </c>
      <c r="L347" s="2">
        <v>-32.8901412</v>
      </c>
    </row>
    <row r="348">
      <c r="A348" s="1">
        <v>1601.0</v>
      </c>
      <c r="D348" s="1" t="s">
        <v>2791</v>
      </c>
      <c r="E348" s="1" t="s">
        <v>1104</v>
      </c>
      <c r="F348" s="1" t="s">
        <v>1622</v>
      </c>
      <c r="G348" s="1" t="s">
        <v>2792</v>
      </c>
      <c r="I348" s="1" t="s">
        <v>21</v>
      </c>
      <c r="J348" s="1" t="s">
        <v>2793</v>
      </c>
      <c r="K348" s="2">
        <v>-68.8395215</v>
      </c>
      <c r="L348" s="2">
        <v>-32.8901412</v>
      </c>
    </row>
    <row r="349">
      <c r="A349" s="1">
        <v>1614.0</v>
      </c>
      <c r="D349" s="1" t="s">
        <v>2794</v>
      </c>
      <c r="E349" s="1" t="s">
        <v>1104</v>
      </c>
      <c r="F349" s="1" t="s">
        <v>1622</v>
      </c>
      <c r="G349" s="1" t="s">
        <v>2795</v>
      </c>
      <c r="I349" s="1" t="s">
        <v>21</v>
      </c>
      <c r="J349" s="1" t="s">
        <v>2796</v>
      </c>
      <c r="K349" s="2">
        <v>-68.8394031</v>
      </c>
      <c r="L349" s="2">
        <v>-32.8913855</v>
      </c>
    </row>
    <row r="350">
      <c r="A350" s="1">
        <v>1619.0</v>
      </c>
      <c r="D350" s="1" t="s">
        <v>2797</v>
      </c>
      <c r="E350" s="1" t="s">
        <v>1104</v>
      </c>
      <c r="F350" s="1" t="s">
        <v>1622</v>
      </c>
      <c r="G350" s="1" t="s">
        <v>2798</v>
      </c>
      <c r="I350" s="1" t="s">
        <v>21</v>
      </c>
      <c r="J350" s="1" t="s">
        <v>2799</v>
      </c>
      <c r="K350" s="2">
        <v>-68.8389656</v>
      </c>
      <c r="L350" s="2">
        <v>-32.8916913</v>
      </c>
    </row>
    <row r="351">
      <c r="A351" s="1">
        <v>1621.0</v>
      </c>
      <c r="D351" s="1" t="s">
        <v>2800</v>
      </c>
      <c r="E351" s="1" t="s">
        <v>1104</v>
      </c>
      <c r="F351" s="1" t="s">
        <v>1622</v>
      </c>
      <c r="G351" s="1" t="s">
        <v>2801</v>
      </c>
      <c r="I351" s="1" t="s">
        <v>21</v>
      </c>
      <c r="J351" s="1" t="s">
        <v>2802</v>
      </c>
      <c r="K351" s="2">
        <v>-68.838791</v>
      </c>
      <c r="L351" s="2">
        <v>-32.89135290000001</v>
      </c>
    </row>
    <row r="352">
      <c r="A352" s="1">
        <v>1622.0</v>
      </c>
      <c r="D352" s="1" t="s">
        <v>2803</v>
      </c>
      <c r="E352" s="1" t="s">
        <v>1104</v>
      </c>
      <c r="F352" s="1" t="s">
        <v>1622</v>
      </c>
      <c r="G352" s="1" t="s">
        <v>2804</v>
      </c>
      <c r="I352" s="1" t="s">
        <v>21</v>
      </c>
      <c r="J352" s="1" t="s">
        <v>2805</v>
      </c>
      <c r="K352" s="2">
        <v>-68.8700868</v>
      </c>
      <c r="L352" s="2">
        <v>-32.8898095</v>
      </c>
    </row>
    <row r="353">
      <c r="A353" s="1">
        <v>1631.0</v>
      </c>
      <c r="D353" s="1" t="s">
        <v>2806</v>
      </c>
      <c r="E353" s="1" t="s">
        <v>1104</v>
      </c>
      <c r="F353" s="1" t="s">
        <v>1622</v>
      </c>
      <c r="G353" s="1" t="s">
        <v>2807</v>
      </c>
      <c r="I353" s="1" t="s">
        <v>21</v>
      </c>
      <c r="J353" s="1" t="s">
        <v>2808</v>
      </c>
      <c r="K353" s="2">
        <v>-68.83891</v>
      </c>
      <c r="L353" s="2">
        <v>-32.891374</v>
      </c>
    </row>
    <row r="354">
      <c r="A354" s="1">
        <v>1632.0</v>
      </c>
      <c r="D354" s="1" t="s">
        <v>2809</v>
      </c>
      <c r="E354" s="1" t="s">
        <v>1104</v>
      </c>
      <c r="F354" s="1" t="s">
        <v>1622</v>
      </c>
      <c r="G354" s="1" t="s">
        <v>2810</v>
      </c>
      <c r="I354" s="1" t="s">
        <v>21</v>
      </c>
      <c r="J354" s="1" t="s">
        <v>2811</v>
      </c>
      <c r="K354" s="2">
        <v>-68.83854269999999</v>
      </c>
      <c r="L354" s="2">
        <v>-32.8919435</v>
      </c>
    </row>
    <row r="355">
      <c r="A355" s="1">
        <v>1633.0</v>
      </c>
      <c r="D355" s="1" t="s">
        <v>2812</v>
      </c>
      <c r="E355" s="1" t="s">
        <v>1104</v>
      </c>
      <c r="F355" s="1" t="s">
        <v>1622</v>
      </c>
      <c r="G355" s="1" t="s">
        <v>2813</v>
      </c>
      <c r="I355" s="1" t="s">
        <v>21</v>
      </c>
      <c r="J355" s="1" t="s">
        <v>2814</v>
      </c>
      <c r="K355" s="2">
        <v>-68.8325724</v>
      </c>
      <c r="L355" s="2">
        <v>-32.8627231</v>
      </c>
    </row>
    <row r="356">
      <c r="A356" s="1">
        <v>1635.0</v>
      </c>
      <c r="D356" s="1" t="s">
        <v>2794</v>
      </c>
      <c r="E356" s="1" t="s">
        <v>1104</v>
      </c>
      <c r="F356" s="1" t="s">
        <v>1622</v>
      </c>
      <c r="G356" s="1" t="s">
        <v>2815</v>
      </c>
      <c r="I356" s="1" t="s">
        <v>21</v>
      </c>
      <c r="J356" s="1" t="s">
        <v>2816</v>
      </c>
      <c r="K356" s="2">
        <v>-68.83891</v>
      </c>
      <c r="L356" s="2">
        <v>-32.891374</v>
      </c>
    </row>
    <row r="357">
      <c r="A357" s="1">
        <v>1638.0</v>
      </c>
      <c r="D357" s="1" t="s">
        <v>2817</v>
      </c>
      <c r="E357" s="1" t="s">
        <v>1104</v>
      </c>
      <c r="F357" s="1" t="s">
        <v>1622</v>
      </c>
      <c r="G357" s="1" t="s">
        <v>2818</v>
      </c>
      <c r="I357" s="1" t="s">
        <v>21</v>
      </c>
      <c r="J357" s="1" t="s">
        <v>2819</v>
      </c>
      <c r="K357" s="2">
        <v>-68.840349</v>
      </c>
      <c r="L357" s="2">
        <v>-32.8915239</v>
      </c>
    </row>
    <row r="358">
      <c r="A358" s="1">
        <v>1657.0</v>
      </c>
      <c r="D358" s="1" t="s">
        <v>2820</v>
      </c>
      <c r="E358" s="1" t="s">
        <v>1104</v>
      </c>
      <c r="F358" s="1" t="s">
        <v>1622</v>
      </c>
      <c r="G358" s="1" t="s">
        <v>2821</v>
      </c>
      <c r="I358" s="1" t="s">
        <v>21</v>
      </c>
      <c r="J358" s="1" t="s">
        <v>2822</v>
      </c>
      <c r="K358" s="2">
        <v>-68.8362454</v>
      </c>
      <c r="L358" s="2">
        <v>-32.8219306</v>
      </c>
    </row>
    <row r="359">
      <c r="A359" s="1">
        <v>119.0</v>
      </c>
      <c r="B359" s="1" t="s">
        <v>29</v>
      </c>
      <c r="C359" s="1" t="s">
        <v>1103</v>
      </c>
      <c r="D359" s="1" t="s">
        <v>1103</v>
      </c>
      <c r="E359" s="1" t="s">
        <v>1104</v>
      </c>
      <c r="F359" s="1" t="s">
        <v>2823</v>
      </c>
      <c r="G359" s="3" t="s">
        <v>2824</v>
      </c>
      <c r="H359" s="1" t="s">
        <v>1103</v>
      </c>
      <c r="I359" s="1" t="s">
        <v>21</v>
      </c>
      <c r="J359" s="1" t="s">
        <v>2825</v>
      </c>
      <c r="K359" s="2">
        <v>-68.840628</v>
      </c>
      <c r="L359" s="2">
        <v>-32.889503</v>
      </c>
    </row>
    <row r="360">
      <c r="A360" s="1">
        <v>171.0</v>
      </c>
      <c r="B360" s="1" t="s">
        <v>29</v>
      </c>
      <c r="C360" s="1" t="s">
        <v>1103</v>
      </c>
      <c r="D360" s="1" t="s">
        <v>1103</v>
      </c>
      <c r="E360" s="1" t="s">
        <v>1104</v>
      </c>
      <c r="F360" s="1" t="s">
        <v>2823</v>
      </c>
      <c r="G360" s="3" t="s">
        <v>1161</v>
      </c>
      <c r="H360" s="1" t="s">
        <v>1103</v>
      </c>
      <c r="I360" s="1" t="s">
        <v>21</v>
      </c>
      <c r="J360" s="1" t="s">
        <v>2826</v>
      </c>
      <c r="K360" s="2">
        <v>-68.8412807</v>
      </c>
      <c r="L360" s="2">
        <v>-32.8921514</v>
      </c>
    </row>
    <row r="361">
      <c r="A361" s="1">
        <v>202.0</v>
      </c>
      <c r="B361" s="1" t="s">
        <v>29</v>
      </c>
      <c r="C361" s="1" t="s">
        <v>1103</v>
      </c>
      <c r="D361" s="1" t="s">
        <v>1103</v>
      </c>
      <c r="E361" s="1" t="s">
        <v>1104</v>
      </c>
      <c r="F361" s="1" t="s">
        <v>2823</v>
      </c>
      <c r="G361" s="1" t="s">
        <v>2224</v>
      </c>
      <c r="H361" s="1" t="s">
        <v>1103</v>
      </c>
      <c r="I361" s="1" t="s">
        <v>21</v>
      </c>
      <c r="J361" s="1" t="s">
        <v>2827</v>
      </c>
      <c r="K361" s="2">
        <v>-68.840718</v>
      </c>
      <c r="L361" s="2">
        <v>-32.890864</v>
      </c>
    </row>
    <row r="362">
      <c r="A362" s="1">
        <v>237.0</v>
      </c>
      <c r="B362" s="1" t="s">
        <v>29</v>
      </c>
      <c r="C362" s="1" t="s">
        <v>1103</v>
      </c>
      <c r="D362" s="1" t="s">
        <v>1103</v>
      </c>
      <c r="E362" s="1" t="s">
        <v>1104</v>
      </c>
      <c r="F362" s="1" t="s">
        <v>2823</v>
      </c>
      <c r="G362" s="3" t="s">
        <v>2828</v>
      </c>
      <c r="H362" s="1" t="s">
        <v>1103</v>
      </c>
      <c r="I362" s="1" t="s">
        <v>21</v>
      </c>
      <c r="J362" s="1" t="s">
        <v>2829</v>
      </c>
      <c r="K362" s="2">
        <v>-68.8394146</v>
      </c>
      <c r="L362" s="2">
        <v>-32.88585250000001</v>
      </c>
    </row>
    <row r="363">
      <c r="A363" s="1">
        <v>256.0</v>
      </c>
      <c r="B363" s="1" t="s">
        <v>29</v>
      </c>
      <c r="C363" s="1" t="s">
        <v>1103</v>
      </c>
      <c r="D363" s="1" t="s">
        <v>1103</v>
      </c>
      <c r="E363" s="1" t="s">
        <v>1104</v>
      </c>
      <c r="F363" s="1" t="s">
        <v>2823</v>
      </c>
      <c r="G363" s="3" t="s">
        <v>2830</v>
      </c>
      <c r="H363" s="1" t="s">
        <v>1103</v>
      </c>
      <c r="I363" s="1" t="s">
        <v>21</v>
      </c>
      <c r="J363" s="1" t="s">
        <v>2831</v>
      </c>
      <c r="K363" s="2">
        <v>-68.839156</v>
      </c>
      <c r="L363" s="2">
        <v>-32.884504</v>
      </c>
    </row>
    <row r="364">
      <c r="A364" s="1">
        <v>257.0</v>
      </c>
      <c r="B364" s="1" t="s">
        <v>29</v>
      </c>
      <c r="C364" s="1" t="s">
        <v>1103</v>
      </c>
      <c r="D364" s="1" t="s">
        <v>2832</v>
      </c>
      <c r="E364" s="1" t="s">
        <v>1104</v>
      </c>
      <c r="F364" s="1" t="s">
        <v>2823</v>
      </c>
      <c r="G364" s="3" t="s">
        <v>1909</v>
      </c>
      <c r="H364" s="1" t="s">
        <v>1103</v>
      </c>
      <c r="I364" s="1" t="s">
        <v>21</v>
      </c>
      <c r="J364" s="1" t="s">
        <v>1911</v>
      </c>
      <c r="K364" s="2">
        <v>-68.8389643</v>
      </c>
      <c r="L364" s="2">
        <v>-32.8844097</v>
      </c>
    </row>
    <row r="365">
      <c r="A365" s="1">
        <v>268.0</v>
      </c>
      <c r="B365" s="1" t="s">
        <v>51</v>
      </c>
      <c r="C365" s="1" t="s">
        <v>1103</v>
      </c>
      <c r="D365" s="1" t="s">
        <v>1103</v>
      </c>
      <c r="E365" s="1" t="s">
        <v>1104</v>
      </c>
      <c r="F365" s="1" t="s">
        <v>2823</v>
      </c>
      <c r="G365" s="1" t="s">
        <v>2833</v>
      </c>
      <c r="H365" s="1" t="s">
        <v>1103</v>
      </c>
      <c r="I365" s="1" t="s">
        <v>21</v>
      </c>
      <c r="J365" s="1" t="s">
        <v>2834</v>
      </c>
      <c r="K365" s="2">
        <v>-68.84000449999999</v>
      </c>
      <c r="L365" s="2">
        <v>-32.890499</v>
      </c>
    </row>
    <row r="366">
      <c r="A366" s="1">
        <v>307.0</v>
      </c>
      <c r="B366" s="1" t="s">
        <v>51</v>
      </c>
      <c r="C366" s="1" t="s">
        <v>1103</v>
      </c>
      <c r="D366" s="1" t="s">
        <v>1103</v>
      </c>
      <c r="E366" s="1" t="s">
        <v>1104</v>
      </c>
      <c r="F366" s="1" t="s">
        <v>2823</v>
      </c>
      <c r="G366" s="1" t="s">
        <v>2835</v>
      </c>
      <c r="H366" s="1" t="s">
        <v>1103</v>
      </c>
      <c r="I366" s="1" t="s">
        <v>21</v>
      </c>
      <c r="J366" s="1" t="s">
        <v>2836</v>
      </c>
      <c r="K366" s="2">
        <v>-68.84000449999999</v>
      </c>
      <c r="L366" s="2">
        <v>-32.890499</v>
      </c>
    </row>
    <row r="367">
      <c r="A367" s="1">
        <v>320.0</v>
      </c>
      <c r="B367" s="1" t="s">
        <v>51</v>
      </c>
      <c r="C367" s="1" t="s">
        <v>1103</v>
      </c>
      <c r="D367" s="1" t="s">
        <v>1103</v>
      </c>
      <c r="E367" s="1" t="s">
        <v>1104</v>
      </c>
      <c r="F367" s="1" t="s">
        <v>2823</v>
      </c>
      <c r="G367" s="1" t="s">
        <v>2837</v>
      </c>
      <c r="H367" s="1" t="s">
        <v>1103</v>
      </c>
      <c r="I367" s="1" t="s">
        <v>21</v>
      </c>
      <c r="J367" s="1" t="s">
        <v>2838</v>
      </c>
      <c r="K367" s="2">
        <v>-68.84000449999999</v>
      </c>
      <c r="L367" s="2">
        <v>-32.890499</v>
      </c>
    </row>
    <row r="368">
      <c r="A368" s="1">
        <v>504.0</v>
      </c>
      <c r="B368" s="1" t="s">
        <v>109</v>
      </c>
      <c r="C368" s="1">
        <v>4.0</v>
      </c>
      <c r="D368" s="1" t="s">
        <v>2839</v>
      </c>
      <c r="E368" s="1" t="s">
        <v>1104</v>
      </c>
      <c r="F368" s="1" t="s">
        <v>2823</v>
      </c>
      <c r="G368" s="1" t="s">
        <v>2840</v>
      </c>
      <c r="H368" s="1" t="s">
        <v>2337</v>
      </c>
      <c r="I368" s="1" t="s">
        <v>21</v>
      </c>
      <c r="J368" s="1" t="s">
        <v>2841</v>
      </c>
      <c r="K368" s="2">
        <v>-68.8386616</v>
      </c>
      <c r="L368" s="2">
        <v>-32.8886147</v>
      </c>
    </row>
    <row r="369">
      <c r="A369" s="1">
        <v>505.0</v>
      </c>
      <c r="B369" s="1" t="s">
        <v>109</v>
      </c>
      <c r="C369" s="1">
        <v>4.0</v>
      </c>
      <c r="D369" s="1" t="s">
        <v>592</v>
      </c>
      <c r="E369" s="1" t="s">
        <v>1104</v>
      </c>
      <c r="F369" s="1" t="s">
        <v>2823</v>
      </c>
      <c r="G369" s="1" t="s">
        <v>2842</v>
      </c>
      <c r="H369" s="1" t="s">
        <v>594</v>
      </c>
      <c r="I369" s="1" t="s">
        <v>21</v>
      </c>
      <c r="J369" s="1" t="s">
        <v>2843</v>
      </c>
      <c r="K369" s="2">
        <v>-68.838694</v>
      </c>
      <c r="L369" s="2">
        <v>-32.888686</v>
      </c>
    </row>
    <row r="370">
      <c r="A370" s="1">
        <v>533.0</v>
      </c>
      <c r="B370" s="1" t="s">
        <v>109</v>
      </c>
      <c r="C370" s="1">
        <v>6.0</v>
      </c>
      <c r="D370" s="1" t="s">
        <v>2844</v>
      </c>
      <c r="E370" s="1" t="s">
        <v>1104</v>
      </c>
      <c r="F370" s="1" t="s">
        <v>2823</v>
      </c>
      <c r="G370" s="1" t="s">
        <v>2845</v>
      </c>
      <c r="H370" s="1" t="s">
        <v>1504</v>
      </c>
      <c r="I370" s="1" t="s">
        <v>21</v>
      </c>
      <c r="J370" s="1" t="s">
        <v>2846</v>
      </c>
      <c r="K370" s="2">
        <v>-68.838258</v>
      </c>
      <c r="L370" s="2">
        <v>-32.886855</v>
      </c>
    </row>
    <row r="371">
      <c r="A371" s="1">
        <v>535.0</v>
      </c>
      <c r="B371" s="1" t="s">
        <v>109</v>
      </c>
      <c r="C371" s="1">
        <v>0.0</v>
      </c>
      <c r="D371" s="1">
        <v>0.0</v>
      </c>
      <c r="E371" s="1" t="s">
        <v>1104</v>
      </c>
      <c r="F371" s="1" t="s">
        <v>2823</v>
      </c>
      <c r="G371" s="1" t="s">
        <v>2847</v>
      </c>
      <c r="H371" s="1">
        <v>0.0</v>
      </c>
      <c r="I371" s="1" t="s">
        <v>21</v>
      </c>
      <c r="J371" s="1" t="s">
        <v>2848</v>
      </c>
      <c r="K371" s="2">
        <v>-68.8383499</v>
      </c>
      <c r="L371" s="2">
        <v>-32.887004</v>
      </c>
    </row>
    <row r="372">
      <c r="A372" s="1">
        <v>538.0</v>
      </c>
      <c r="B372" s="1" t="s">
        <v>109</v>
      </c>
      <c r="C372" s="1">
        <v>6.0</v>
      </c>
      <c r="D372" s="1">
        <v>0.0</v>
      </c>
      <c r="E372" s="1" t="s">
        <v>1104</v>
      </c>
      <c r="F372" s="1" t="s">
        <v>2823</v>
      </c>
      <c r="G372" s="1" t="s">
        <v>2849</v>
      </c>
      <c r="H372" s="1" t="s">
        <v>2850</v>
      </c>
      <c r="I372" s="1" t="s">
        <v>21</v>
      </c>
      <c r="J372" s="1" t="s">
        <v>2851</v>
      </c>
      <c r="K372" s="2">
        <v>-68.83832</v>
      </c>
      <c r="L372" s="2">
        <v>-32.8870274</v>
      </c>
    </row>
    <row r="373">
      <c r="A373" s="1">
        <v>539.0</v>
      </c>
      <c r="B373" s="1" t="s">
        <v>109</v>
      </c>
      <c r="C373" s="1">
        <v>6.0</v>
      </c>
      <c r="D373" s="1" t="s">
        <v>2852</v>
      </c>
      <c r="E373" s="1" t="s">
        <v>1104</v>
      </c>
      <c r="F373" s="1" t="s">
        <v>2823</v>
      </c>
      <c r="G373" s="1" t="s">
        <v>2853</v>
      </c>
      <c r="H373" s="1" t="s">
        <v>2854</v>
      </c>
      <c r="I373" s="1" t="s">
        <v>21</v>
      </c>
      <c r="J373" s="1" t="s">
        <v>2855</v>
      </c>
      <c r="K373" s="2">
        <v>-68.8383712</v>
      </c>
      <c r="L373" s="2">
        <v>-32.8871895</v>
      </c>
    </row>
    <row r="374">
      <c r="A374" s="1">
        <v>541.0</v>
      </c>
      <c r="B374" s="1" t="s">
        <v>109</v>
      </c>
      <c r="C374" s="1">
        <v>1.0</v>
      </c>
      <c r="D374" s="1" t="s">
        <v>2856</v>
      </c>
      <c r="E374" s="1" t="s">
        <v>1104</v>
      </c>
      <c r="F374" s="1" t="s">
        <v>2823</v>
      </c>
      <c r="G374" s="1" t="s">
        <v>2857</v>
      </c>
      <c r="H374" s="1" t="s">
        <v>2858</v>
      </c>
      <c r="I374" s="1" t="s">
        <v>21</v>
      </c>
      <c r="J374" s="1" t="s">
        <v>2859</v>
      </c>
      <c r="K374" s="2">
        <v>-68.838392</v>
      </c>
      <c r="L374" s="2">
        <v>-32.8872716</v>
      </c>
    </row>
    <row r="375">
      <c r="A375" s="1">
        <v>549.0</v>
      </c>
      <c r="B375" s="1" t="s">
        <v>109</v>
      </c>
      <c r="C375" s="1">
        <v>2.0</v>
      </c>
      <c r="D375" s="1" t="s">
        <v>2860</v>
      </c>
      <c r="E375" s="1" t="s">
        <v>1104</v>
      </c>
      <c r="F375" s="1" t="s">
        <v>2823</v>
      </c>
      <c r="G375" s="1" t="s">
        <v>2861</v>
      </c>
      <c r="H375" s="1" t="s">
        <v>2862</v>
      </c>
      <c r="I375" s="1" t="s">
        <v>21</v>
      </c>
      <c r="J375" s="1" t="s">
        <v>2863</v>
      </c>
      <c r="K375" s="2">
        <v>-68.837751</v>
      </c>
      <c r="L375" s="2">
        <v>-32.88498390000001</v>
      </c>
    </row>
    <row r="376">
      <c r="A376" s="1">
        <v>551.0</v>
      </c>
      <c r="B376" s="1" t="s">
        <v>109</v>
      </c>
      <c r="C376" s="1">
        <v>3.0</v>
      </c>
      <c r="D376" s="1" t="s">
        <v>613</v>
      </c>
      <c r="E376" s="1" t="s">
        <v>1104</v>
      </c>
      <c r="F376" s="1" t="s">
        <v>2823</v>
      </c>
      <c r="G376" s="1" t="s">
        <v>2864</v>
      </c>
      <c r="H376" s="1" t="s">
        <v>642</v>
      </c>
      <c r="I376" s="1" t="s">
        <v>21</v>
      </c>
      <c r="J376" s="1" t="s">
        <v>2865</v>
      </c>
      <c r="K376" s="2">
        <v>-68.8378439</v>
      </c>
      <c r="L376" s="2">
        <v>-32.885309</v>
      </c>
    </row>
    <row r="377">
      <c r="A377" s="1">
        <v>555.0</v>
      </c>
      <c r="B377" s="1" t="s">
        <v>109</v>
      </c>
      <c r="C377" s="1">
        <v>4.0</v>
      </c>
      <c r="D377" s="1" t="s">
        <v>706</v>
      </c>
      <c r="E377" s="1" t="s">
        <v>1104</v>
      </c>
      <c r="F377" s="1" t="s">
        <v>2823</v>
      </c>
      <c r="G377" s="1" t="s">
        <v>2866</v>
      </c>
      <c r="H377" s="1" t="s">
        <v>708</v>
      </c>
      <c r="I377" s="1" t="s">
        <v>21</v>
      </c>
      <c r="J377" s="1" t="s">
        <v>2867</v>
      </c>
      <c r="K377" s="2">
        <v>-68.837908</v>
      </c>
      <c r="L377" s="2">
        <v>-32.8856479</v>
      </c>
    </row>
    <row r="378">
      <c r="A378" s="1">
        <v>558.0</v>
      </c>
      <c r="B378" s="1" t="s">
        <v>109</v>
      </c>
      <c r="C378" s="1">
        <v>4.0</v>
      </c>
      <c r="D378" s="1" t="s">
        <v>652</v>
      </c>
      <c r="E378" s="1" t="s">
        <v>1104</v>
      </c>
      <c r="F378" s="1" t="s">
        <v>2823</v>
      </c>
      <c r="G378" s="1" t="s">
        <v>2868</v>
      </c>
      <c r="H378" s="1" t="s">
        <v>654</v>
      </c>
      <c r="I378" s="1" t="s">
        <v>21</v>
      </c>
      <c r="J378" s="1" t="s">
        <v>2869</v>
      </c>
      <c r="K378" s="2">
        <v>-68.8379269</v>
      </c>
      <c r="L378" s="2">
        <v>-32.885701</v>
      </c>
    </row>
    <row r="379">
      <c r="A379" s="1">
        <v>610.0</v>
      </c>
      <c r="B379" s="1" t="s">
        <v>109</v>
      </c>
      <c r="C379" s="1">
        <v>7.0</v>
      </c>
      <c r="D379" s="1" t="s">
        <v>485</v>
      </c>
      <c r="E379" s="1" t="s">
        <v>1104</v>
      </c>
      <c r="F379" s="1" t="s">
        <v>2823</v>
      </c>
      <c r="G379" s="1" t="s">
        <v>2870</v>
      </c>
      <c r="H379" s="1" t="s">
        <v>487</v>
      </c>
      <c r="I379" s="1" t="s">
        <v>21</v>
      </c>
      <c r="J379" s="1" t="s">
        <v>2871</v>
      </c>
      <c r="K379" s="2">
        <v>-68.8392384</v>
      </c>
      <c r="L379" s="2">
        <v>-32.8892378</v>
      </c>
    </row>
    <row r="380">
      <c r="A380" s="1">
        <v>614.0</v>
      </c>
      <c r="B380" s="1" t="s">
        <v>109</v>
      </c>
      <c r="C380" s="1">
        <v>9.0</v>
      </c>
      <c r="D380" s="1">
        <v>0.0</v>
      </c>
      <c r="E380" s="1" t="s">
        <v>1104</v>
      </c>
      <c r="F380" s="1" t="s">
        <v>2823</v>
      </c>
      <c r="G380" s="1" t="s">
        <v>2872</v>
      </c>
      <c r="H380" s="1" t="s">
        <v>2085</v>
      </c>
      <c r="I380" s="1" t="s">
        <v>21</v>
      </c>
      <c r="J380" s="1" t="s">
        <v>2873</v>
      </c>
      <c r="K380" s="2">
        <v>-68.839156</v>
      </c>
      <c r="L380" s="2">
        <v>-32.888917</v>
      </c>
    </row>
    <row r="381">
      <c r="A381" s="1">
        <v>615.0</v>
      </c>
      <c r="B381" s="1" t="s">
        <v>109</v>
      </c>
      <c r="C381" s="1">
        <v>9.0</v>
      </c>
      <c r="D381" s="1" t="s">
        <v>2874</v>
      </c>
      <c r="E381" s="1" t="s">
        <v>1104</v>
      </c>
      <c r="F381" s="1" t="s">
        <v>2823</v>
      </c>
      <c r="G381" s="1" t="s">
        <v>2875</v>
      </c>
      <c r="H381" s="1" t="s">
        <v>2876</v>
      </c>
      <c r="I381" s="1" t="s">
        <v>21</v>
      </c>
      <c r="J381" s="1" t="s">
        <v>2877</v>
      </c>
      <c r="K381" s="2">
        <v>-68.839156</v>
      </c>
      <c r="L381" s="2">
        <v>-32.888917</v>
      </c>
    </row>
    <row r="382">
      <c r="A382" s="1">
        <v>621.0</v>
      </c>
      <c r="B382" s="1" t="s">
        <v>109</v>
      </c>
      <c r="C382" s="1">
        <v>5.0</v>
      </c>
      <c r="D382" s="1">
        <v>0.0</v>
      </c>
      <c r="E382" s="1" t="s">
        <v>1104</v>
      </c>
      <c r="F382" s="1" t="s">
        <v>2823</v>
      </c>
      <c r="G382" s="1" t="s">
        <v>2878</v>
      </c>
      <c r="H382" s="1" t="s">
        <v>2879</v>
      </c>
      <c r="I382" s="1" t="s">
        <v>21</v>
      </c>
      <c r="J382" s="1" t="s">
        <v>2880</v>
      </c>
      <c r="K382" s="2">
        <v>-68.839572</v>
      </c>
      <c r="L382" s="2">
        <v>-32.89033</v>
      </c>
    </row>
    <row r="383">
      <c r="A383" s="1">
        <v>622.0</v>
      </c>
      <c r="B383" s="1" t="s">
        <v>109</v>
      </c>
      <c r="C383" s="1">
        <v>5.0</v>
      </c>
      <c r="D383" s="1" t="s">
        <v>2885</v>
      </c>
      <c r="E383" s="1" t="s">
        <v>1104</v>
      </c>
      <c r="F383" s="1" t="s">
        <v>2823</v>
      </c>
      <c r="G383" s="1" t="s">
        <v>2888</v>
      </c>
      <c r="H383" s="1" t="s">
        <v>2889</v>
      </c>
      <c r="I383" s="1" t="s">
        <v>21</v>
      </c>
      <c r="J383" s="1" t="s">
        <v>2890</v>
      </c>
      <c r="K383" s="2">
        <v>-68.839564</v>
      </c>
      <c r="L383" s="2">
        <v>-32.890271</v>
      </c>
    </row>
    <row r="384">
      <c r="A384" s="1">
        <v>629.0</v>
      </c>
      <c r="B384" s="1" t="s">
        <v>109</v>
      </c>
      <c r="C384" s="1">
        <v>6.0</v>
      </c>
      <c r="D384" s="1">
        <v>0.0</v>
      </c>
      <c r="E384" s="1" t="s">
        <v>1104</v>
      </c>
      <c r="F384" s="1" t="s">
        <v>2823</v>
      </c>
      <c r="G384" s="1" t="s">
        <v>2891</v>
      </c>
      <c r="H384" s="1" t="s">
        <v>1689</v>
      </c>
      <c r="I384" s="1" t="s">
        <v>21</v>
      </c>
      <c r="J384" s="1" t="s">
        <v>2892</v>
      </c>
      <c r="K384" s="2">
        <v>-68.8397789</v>
      </c>
      <c r="L384" s="2">
        <v>-32.891438</v>
      </c>
    </row>
    <row r="385">
      <c r="A385" s="1">
        <v>635.0</v>
      </c>
      <c r="B385" s="1" t="s">
        <v>109</v>
      </c>
      <c r="C385" s="1">
        <v>2.0</v>
      </c>
      <c r="D385" s="1">
        <v>0.0</v>
      </c>
      <c r="E385" s="1" t="s">
        <v>1104</v>
      </c>
      <c r="F385" s="1" t="s">
        <v>2823</v>
      </c>
      <c r="G385" s="1" t="s">
        <v>2893</v>
      </c>
      <c r="H385" s="1" t="s">
        <v>566</v>
      </c>
      <c r="I385" s="1" t="s">
        <v>21</v>
      </c>
      <c r="J385" s="1" t="s">
        <v>2894</v>
      </c>
      <c r="K385" s="2">
        <v>-68.839727</v>
      </c>
      <c r="L385" s="2">
        <v>-32.8909699</v>
      </c>
    </row>
    <row r="386">
      <c r="A386" s="1">
        <v>873.0</v>
      </c>
      <c r="B386" s="1" t="s">
        <v>55</v>
      </c>
      <c r="C386" s="1">
        <v>8.0</v>
      </c>
      <c r="D386" s="1" t="s">
        <v>725</v>
      </c>
      <c r="E386" s="1" t="s">
        <v>1104</v>
      </c>
      <c r="F386" s="1" t="s">
        <v>2823</v>
      </c>
      <c r="G386" s="1" t="s">
        <v>2895</v>
      </c>
      <c r="H386" s="1" t="s">
        <v>726</v>
      </c>
      <c r="I386" s="1" t="s">
        <v>21</v>
      </c>
      <c r="J386" s="1" t="s">
        <v>2896</v>
      </c>
      <c r="K386" s="2">
        <v>-68.846135</v>
      </c>
      <c r="L386" s="2">
        <v>-32.884696</v>
      </c>
    </row>
    <row r="387">
      <c r="A387" s="1">
        <v>968.0</v>
      </c>
      <c r="B387" s="1" t="s">
        <v>62</v>
      </c>
      <c r="C387" s="1">
        <v>1.0</v>
      </c>
      <c r="D387" s="1" t="s">
        <v>2897</v>
      </c>
      <c r="E387" s="1" t="s">
        <v>1104</v>
      </c>
      <c r="F387" s="1" t="s">
        <v>2823</v>
      </c>
      <c r="G387" s="1" t="s">
        <v>2899</v>
      </c>
      <c r="H387" s="1" t="s">
        <v>2900</v>
      </c>
      <c r="I387" s="1" t="s">
        <v>21</v>
      </c>
      <c r="J387" s="1" t="s">
        <v>2902</v>
      </c>
      <c r="K387" s="2">
        <v>-68.8418346</v>
      </c>
      <c r="L387" s="2">
        <v>-32.8947464</v>
      </c>
    </row>
    <row r="388">
      <c r="A388" s="1">
        <v>1083.0</v>
      </c>
      <c r="B388" s="1" t="s">
        <v>62</v>
      </c>
      <c r="C388" s="1">
        <v>2.0</v>
      </c>
      <c r="D388" s="1" t="s">
        <v>2905</v>
      </c>
      <c r="E388" s="1" t="s">
        <v>1104</v>
      </c>
      <c r="F388" s="1" t="s">
        <v>2823</v>
      </c>
      <c r="G388" s="1" t="s">
        <v>2906</v>
      </c>
      <c r="H388" s="3" t="s">
        <v>1669</v>
      </c>
      <c r="I388" s="1" t="s">
        <v>21</v>
      </c>
      <c r="J388" s="1" t="s">
        <v>2907</v>
      </c>
      <c r="K388" s="2">
        <v>-68.8445079</v>
      </c>
      <c r="L388" s="2">
        <v>-32.8944238</v>
      </c>
    </row>
    <row r="389">
      <c r="A389" s="1">
        <v>1106.0</v>
      </c>
      <c r="B389" s="1" t="s">
        <v>120</v>
      </c>
      <c r="C389" s="1" t="s">
        <v>1103</v>
      </c>
      <c r="D389" s="1" t="s">
        <v>1103</v>
      </c>
      <c r="E389" s="1" t="s">
        <v>1104</v>
      </c>
      <c r="F389" s="1" t="s">
        <v>2823</v>
      </c>
      <c r="G389" s="1" t="s">
        <v>1004</v>
      </c>
      <c r="H389" s="1" t="s">
        <v>1103</v>
      </c>
      <c r="I389" s="1" t="s">
        <v>21</v>
      </c>
      <c r="J389" s="1" t="s">
        <v>1006</v>
      </c>
      <c r="K389" s="2">
        <v>-68.8396413</v>
      </c>
      <c r="L389" s="2">
        <v>-32.8893426</v>
      </c>
    </row>
    <row r="390">
      <c r="A390" s="1">
        <v>1133.0</v>
      </c>
      <c r="B390" s="1" t="s">
        <v>120</v>
      </c>
      <c r="C390" s="1" t="s">
        <v>1103</v>
      </c>
      <c r="D390" s="1" t="s">
        <v>1103</v>
      </c>
      <c r="E390" s="1" t="s">
        <v>1104</v>
      </c>
      <c r="F390" s="1" t="s">
        <v>2823</v>
      </c>
      <c r="G390" s="1" t="s">
        <v>2077</v>
      </c>
      <c r="H390" s="1" t="s">
        <v>1103</v>
      </c>
      <c r="I390" s="1" t="s">
        <v>21</v>
      </c>
      <c r="J390" s="1" t="s">
        <v>2912</v>
      </c>
      <c r="K390" s="2">
        <v>-68.842299</v>
      </c>
      <c r="L390" s="2">
        <v>-32.8888029</v>
      </c>
    </row>
    <row r="391">
      <c r="A391" s="1">
        <v>1155.0</v>
      </c>
      <c r="B391" s="1" t="s">
        <v>120</v>
      </c>
      <c r="C391" s="1" t="s">
        <v>1103</v>
      </c>
      <c r="D391" s="1" t="s">
        <v>2913</v>
      </c>
      <c r="E391" s="1" t="s">
        <v>1104</v>
      </c>
      <c r="F391" s="1" t="s">
        <v>2823</v>
      </c>
      <c r="G391" s="1" t="s">
        <v>2914</v>
      </c>
      <c r="H391" s="1" t="s">
        <v>1103</v>
      </c>
      <c r="I391" s="1" t="s">
        <v>21</v>
      </c>
      <c r="J391" s="1" t="s">
        <v>2915</v>
      </c>
      <c r="K391" s="2">
        <v>-68.8413659</v>
      </c>
      <c r="L391" s="2">
        <v>-32.889265</v>
      </c>
    </row>
    <row r="392">
      <c r="A392" s="1">
        <v>1160.0</v>
      </c>
      <c r="B392" s="1" t="s">
        <v>120</v>
      </c>
      <c r="C392" s="1" t="s">
        <v>1103</v>
      </c>
      <c r="D392" s="1" t="s">
        <v>1103</v>
      </c>
      <c r="E392" s="1" t="s">
        <v>1104</v>
      </c>
      <c r="F392" s="1" t="s">
        <v>2823</v>
      </c>
      <c r="G392" s="1" t="s">
        <v>2917</v>
      </c>
      <c r="H392" s="1" t="s">
        <v>1103</v>
      </c>
      <c r="I392" s="1" t="s">
        <v>21</v>
      </c>
      <c r="J392" s="1" t="s">
        <v>2919</v>
      </c>
      <c r="K392" s="2">
        <v>-68.8408489</v>
      </c>
      <c r="L392" s="2">
        <v>-32.889299</v>
      </c>
    </row>
    <row r="393">
      <c r="A393" s="1">
        <v>1174.0</v>
      </c>
      <c r="B393" s="1" t="s">
        <v>120</v>
      </c>
      <c r="C393" s="1" t="s">
        <v>1103</v>
      </c>
      <c r="D393" s="1" t="s">
        <v>2920</v>
      </c>
      <c r="E393" s="1" t="s">
        <v>1104</v>
      </c>
      <c r="F393" s="1" t="s">
        <v>2823</v>
      </c>
      <c r="G393" s="1" t="s">
        <v>2850</v>
      </c>
      <c r="H393" s="1" t="s">
        <v>1103</v>
      </c>
      <c r="I393" s="1" t="s">
        <v>21</v>
      </c>
      <c r="J393" s="1" t="s">
        <v>2923</v>
      </c>
      <c r="K393" s="2">
        <v>-68.8399089</v>
      </c>
      <c r="L393" s="2">
        <v>-32.88952</v>
      </c>
    </row>
    <row r="394">
      <c r="A394" s="1">
        <v>1176.0</v>
      </c>
      <c r="B394" s="1" t="s">
        <v>120</v>
      </c>
      <c r="C394" s="1" t="s">
        <v>1103</v>
      </c>
      <c r="D394" s="1" t="s">
        <v>2924</v>
      </c>
      <c r="E394" s="1" t="s">
        <v>1104</v>
      </c>
      <c r="F394" s="1" t="s">
        <v>2823</v>
      </c>
      <c r="G394" s="1" t="s">
        <v>2925</v>
      </c>
      <c r="H394" s="1" t="s">
        <v>1103</v>
      </c>
      <c r="I394" s="1" t="s">
        <v>21</v>
      </c>
      <c r="J394" s="1" t="s">
        <v>2926</v>
      </c>
      <c r="K394" s="2">
        <v>-68.839848</v>
      </c>
      <c r="L394" s="2">
        <v>-32.88955600000001</v>
      </c>
    </row>
    <row r="395">
      <c r="A395" s="1">
        <v>1179.0</v>
      </c>
      <c r="B395" s="1" t="s">
        <v>120</v>
      </c>
      <c r="C395" s="1" t="s">
        <v>1103</v>
      </c>
      <c r="D395" s="1" t="s">
        <v>1103</v>
      </c>
      <c r="E395" s="1" t="s">
        <v>1104</v>
      </c>
      <c r="F395" s="1" t="s">
        <v>2823</v>
      </c>
      <c r="G395" s="1" t="s">
        <v>2854</v>
      </c>
      <c r="H395" s="1" t="s">
        <v>1103</v>
      </c>
      <c r="I395" s="1" t="s">
        <v>21</v>
      </c>
      <c r="J395" s="1" t="s">
        <v>2927</v>
      </c>
      <c r="K395" s="2">
        <v>-68.839574</v>
      </c>
      <c r="L395" s="2">
        <v>-32.88962</v>
      </c>
    </row>
    <row r="396">
      <c r="A396" s="1">
        <v>1181.0</v>
      </c>
      <c r="B396" s="1" t="s">
        <v>120</v>
      </c>
      <c r="C396" s="1">
        <v>1.0</v>
      </c>
      <c r="D396" s="1" t="s">
        <v>2929</v>
      </c>
      <c r="E396" s="1" t="s">
        <v>1104</v>
      </c>
      <c r="F396" s="1" t="s">
        <v>2823</v>
      </c>
      <c r="G396" s="1" t="s">
        <v>2070</v>
      </c>
      <c r="H396" s="1" t="s">
        <v>1562</v>
      </c>
      <c r="I396" s="1" t="s">
        <v>21</v>
      </c>
      <c r="J396" s="1" t="s">
        <v>2931</v>
      </c>
      <c r="K396" s="2">
        <v>-68.839499</v>
      </c>
      <c r="L396" s="2">
        <v>-32.8896219</v>
      </c>
    </row>
    <row r="397">
      <c r="A397" s="1">
        <v>1185.0</v>
      </c>
      <c r="B397" s="1" t="s">
        <v>227</v>
      </c>
      <c r="C397" s="1" t="s">
        <v>1103</v>
      </c>
      <c r="D397" s="1" t="s">
        <v>2934</v>
      </c>
      <c r="E397" s="1" t="s">
        <v>1104</v>
      </c>
      <c r="F397" s="1" t="s">
        <v>2823</v>
      </c>
      <c r="G397" s="1" t="s">
        <v>2935</v>
      </c>
      <c r="H397" s="1" t="s">
        <v>1103</v>
      </c>
      <c r="I397" s="1" t="s">
        <v>21</v>
      </c>
      <c r="J397" s="1" t="s">
        <v>2936</v>
      </c>
      <c r="K397" s="2">
        <v>-68.8382669</v>
      </c>
      <c r="L397" s="2">
        <v>-32.8838056</v>
      </c>
    </row>
    <row r="398">
      <c r="A398" s="1">
        <v>1275.0</v>
      </c>
      <c r="B398" s="1" t="s">
        <v>248</v>
      </c>
      <c r="C398" s="1" t="s">
        <v>1103</v>
      </c>
      <c r="D398" s="1" t="s">
        <v>1103</v>
      </c>
      <c r="E398" s="1" t="s">
        <v>1104</v>
      </c>
      <c r="F398" s="1" t="s">
        <v>2823</v>
      </c>
      <c r="G398" s="1" t="s">
        <v>1180</v>
      </c>
      <c r="H398" s="1" t="s">
        <v>1103</v>
      </c>
      <c r="I398" s="1" t="s">
        <v>21</v>
      </c>
      <c r="J398" s="1" t="s">
        <v>2937</v>
      </c>
      <c r="K398" s="2">
        <v>-68.841988</v>
      </c>
      <c r="L398" s="2">
        <v>-32.8895799</v>
      </c>
    </row>
    <row r="399">
      <c r="A399" s="1">
        <v>1291.0</v>
      </c>
      <c r="B399" s="1" t="s">
        <v>248</v>
      </c>
      <c r="C399" s="1" t="s">
        <v>1103</v>
      </c>
      <c r="D399" s="1" t="s">
        <v>1103</v>
      </c>
      <c r="E399" s="1" t="s">
        <v>1104</v>
      </c>
      <c r="F399" s="1" t="s">
        <v>2823</v>
      </c>
      <c r="G399" s="1" t="s">
        <v>1202</v>
      </c>
      <c r="H399" s="1" t="s">
        <v>1103</v>
      </c>
      <c r="I399" s="1" t="s">
        <v>21</v>
      </c>
      <c r="J399" s="1" t="s">
        <v>1205</v>
      </c>
      <c r="K399" s="2">
        <v>-68.8428586</v>
      </c>
      <c r="L399" s="2">
        <v>-32.8916984</v>
      </c>
    </row>
    <row r="400">
      <c r="A400" s="1">
        <v>1307.0</v>
      </c>
      <c r="B400" s="1" t="s">
        <v>248</v>
      </c>
      <c r="C400" s="1" t="s">
        <v>1103</v>
      </c>
      <c r="D400" s="1" t="s">
        <v>1103</v>
      </c>
      <c r="E400" s="1" t="s">
        <v>1104</v>
      </c>
      <c r="F400" s="1" t="s">
        <v>2823</v>
      </c>
      <c r="G400" s="1" t="s">
        <v>2942</v>
      </c>
      <c r="H400" s="1" t="s">
        <v>1103</v>
      </c>
      <c r="I400" s="1" t="s">
        <v>21</v>
      </c>
      <c r="J400" s="1" t="s">
        <v>2943</v>
      </c>
      <c r="K400" s="2">
        <v>-68.8420336</v>
      </c>
      <c r="L400" s="2">
        <v>-32.89297640000001</v>
      </c>
    </row>
    <row r="401">
      <c r="A401" s="1">
        <v>1347.0</v>
      </c>
      <c r="B401" s="1" t="s">
        <v>248</v>
      </c>
      <c r="C401" s="1" t="s">
        <v>1103</v>
      </c>
      <c r="D401" s="1" t="s">
        <v>1103</v>
      </c>
      <c r="E401" s="1" t="s">
        <v>1104</v>
      </c>
      <c r="F401" s="1" t="s">
        <v>2823</v>
      </c>
      <c r="G401" s="1" t="s">
        <v>2944</v>
      </c>
      <c r="H401" s="1" t="s">
        <v>1103</v>
      </c>
      <c r="I401" s="1" t="s">
        <v>21</v>
      </c>
      <c r="J401" s="1" t="s">
        <v>2945</v>
      </c>
      <c r="K401" s="2">
        <v>-68.8458386</v>
      </c>
      <c r="L401" s="2">
        <v>-32.8894587</v>
      </c>
    </row>
    <row r="402">
      <c r="A402" s="1">
        <v>1360.0</v>
      </c>
      <c r="B402" s="1" t="s">
        <v>248</v>
      </c>
      <c r="C402" s="1" t="s">
        <v>1103</v>
      </c>
      <c r="D402" s="1" t="s">
        <v>1103</v>
      </c>
      <c r="E402" s="1" t="s">
        <v>1104</v>
      </c>
      <c r="F402" s="1" t="s">
        <v>2823</v>
      </c>
      <c r="G402" s="1" t="s">
        <v>2946</v>
      </c>
      <c r="H402" s="1" t="s">
        <v>1103</v>
      </c>
      <c r="I402" s="1" t="s">
        <v>21</v>
      </c>
      <c r="J402" s="1" t="s">
        <v>2947</v>
      </c>
      <c r="K402" s="2">
        <v>-68.84051290000001</v>
      </c>
      <c r="L402" s="2">
        <v>-32.8847424</v>
      </c>
    </row>
    <row r="403">
      <c r="A403" s="1">
        <v>1369.0</v>
      </c>
      <c r="D403" s="1" t="s">
        <v>2950</v>
      </c>
      <c r="E403" s="1" t="s">
        <v>1104</v>
      </c>
      <c r="F403" s="1" t="s">
        <v>2823</v>
      </c>
      <c r="G403" s="1" t="s">
        <v>2952</v>
      </c>
      <c r="I403" s="1" t="s">
        <v>21</v>
      </c>
      <c r="J403" s="1" t="s">
        <v>2954</v>
      </c>
      <c r="K403" s="2">
        <v>-68.83888499999999</v>
      </c>
      <c r="L403" s="2">
        <v>-32.8878402</v>
      </c>
    </row>
    <row r="404">
      <c r="A404" s="1">
        <v>1472.0</v>
      </c>
      <c r="D404" s="1" t="s">
        <v>2955</v>
      </c>
      <c r="E404" s="1" t="s">
        <v>1104</v>
      </c>
      <c r="F404" s="1" t="s">
        <v>2823</v>
      </c>
      <c r="G404" s="1" t="s">
        <v>2956</v>
      </c>
      <c r="I404" s="1" t="s">
        <v>21</v>
      </c>
      <c r="J404" s="1" t="s">
        <v>2957</v>
      </c>
      <c r="K404" s="2">
        <v>-68.838724</v>
      </c>
      <c r="L404" s="2">
        <v>-32.889123</v>
      </c>
    </row>
    <row r="405">
      <c r="A405" s="1">
        <v>1474.0</v>
      </c>
      <c r="D405" s="1" t="s">
        <v>2958</v>
      </c>
      <c r="E405" s="1" t="s">
        <v>1104</v>
      </c>
      <c r="F405" s="1" t="s">
        <v>2823</v>
      </c>
      <c r="G405" s="1" t="s">
        <v>2959</v>
      </c>
      <c r="I405" s="1" t="s">
        <v>21</v>
      </c>
      <c r="J405" s="1" t="s">
        <v>2960</v>
      </c>
      <c r="K405" s="2">
        <v>-68.838724</v>
      </c>
      <c r="L405" s="2">
        <v>-32.889123</v>
      </c>
    </row>
    <row r="406">
      <c r="A406" s="1">
        <v>1488.0</v>
      </c>
      <c r="D406" s="1" t="s">
        <v>2962</v>
      </c>
      <c r="E406" s="1" t="s">
        <v>1104</v>
      </c>
      <c r="F406" s="1" t="s">
        <v>2823</v>
      </c>
      <c r="G406" s="1" t="s">
        <v>2964</v>
      </c>
      <c r="I406" s="1" t="s">
        <v>21</v>
      </c>
      <c r="J406" s="1" t="s">
        <v>2966</v>
      </c>
      <c r="K406" s="2">
        <v>-68.838724</v>
      </c>
      <c r="L406" s="2">
        <v>-32.889123</v>
      </c>
    </row>
    <row r="407">
      <c r="A407" s="1">
        <v>1515.0</v>
      </c>
      <c r="D407" s="1" t="s">
        <v>2968</v>
      </c>
      <c r="E407" s="1" t="s">
        <v>1104</v>
      </c>
      <c r="F407" s="1" t="s">
        <v>2823</v>
      </c>
      <c r="G407" s="1" t="s">
        <v>2969</v>
      </c>
      <c r="I407" s="1" t="s">
        <v>21</v>
      </c>
      <c r="J407" s="1" t="s">
        <v>2970</v>
      </c>
      <c r="K407" s="2">
        <v>-68.8384789</v>
      </c>
      <c r="L407" s="2">
        <v>-32.888044</v>
      </c>
    </row>
    <row r="408">
      <c r="A408" s="1">
        <v>1544.0</v>
      </c>
      <c r="D408" s="1" t="s">
        <v>2971</v>
      </c>
      <c r="E408" s="1" t="s">
        <v>1104</v>
      </c>
      <c r="F408" s="1" t="s">
        <v>2823</v>
      </c>
      <c r="G408" s="1" t="s">
        <v>2972</v>
      </c>
      <c r="I408" s="1" t="s">
        <v>21</v>
      </c>
      <c r="J408" s="1" t="s">
        <v>2973</v>
      </c>
      <c r="K408" s="2">
        <v>-68.8377813</v>
      </c>
      <c r="L408" s="2">
        <v>-32.8874315</v>
      </c>
    </row>
    <row r="409">
      <c r="A409" s="1">
        <v>1546.0</v>
      </c>
      <c r="D409" s="1" t="s">
        <v>2774</v>
      </c>
      <c r="E409" s="1" t="s">
        <v>1104</v>
      </c>
      <c r="F409" s="1" t="s">
        <v>2823</v>
      </c>
      <c r="G409" s="1" t="s">
        <v>2974</v>
      </c>
      <c r="I409" s="1" t="s">
        <v>21</v>
      </c>
      <c r="J409" s="1" t="s">
        <v>2975</v>
      </c>
      <c r="K409" s="2">
        <v>-68.83832</v>
      </c>
      <c r="L409" s="2">
        <v>-32.8870274</v>
      </c>
    </row>
    <row r="410">
      <c r="A410" s="1">
        <v>1565.0</v>
      </c>
      <c r="D410" s="1" t="s">
        <v>2977</v>
      </c>
      <c r="E410" s="1" t="s">
        <v>1104</v>
      </c>
      <c r="F410" s="1" t="s">
        <v>2823</v>
      </c>
      <c r="G410" s="1" t="s">
        <v>2980</v>
      </c>
      <c r="I410" s="1" t="s">
        <v>21</v>
      </c>
      <c r="J410" s="1" t="s">
        <v>2982</v>
      </c>
      <c r="K410" s="2">
        <v>-68.8405866</v>
      </c>
      <c r="L410" s="2">
        <v>-32.8876594</v>
      </c>
    </row>
    <row r="411">
      <c r="A411" s="1">
        <v>1595.0</v>
      </c>
      <c r="D411" s="1" t="s">
        <v>2984</v>
      </c>
      <c r="E411" s="1" t="s">
        <v>1104</v>
      </c>
      <c r="F411" s="1" t="s">
        <v>2823</v>
      </c>
      <c r="G411" s="1" t="s">
        <v>2985</v>
      </c>
      <c r="I411" s="1" t="s">
        <v>21</v>
      </c>
      <c r="J411" s="1" t="s">
        <v>2986</v>
      </c>
      <c r="K411" s="2">
        <v>-68.8395215</v>
      </c>
      <c r="L411" s="2">
        <v>-32.8901412</v>
      </c>
    </row>
    <row r="412">
      <c r="A412" s="1">
        <v>1613.0</v>
      </c>
      <c r="D412" s="1" t="s">
        <v>2987</v>
      </c>
      <c r="E412" s="1" t="s">
        <v>1104</v>
      </c>
      <c r="F412" s="1" t="s">
        <v>2823</v>
      </c>
      <c r="G412" s="1" t="s">
        <v>2988</v>
      </c>
      <c r="I412" s="1" t="s">
        <v>21</v>
      </c>
      <c r="J412" s="1" t="s">
        <v>2989</v>
      </c>
      <c r="K412" s="2">
        <v>-68.83891</v>
      </c>
      <c r="L412" s="2">
        <v>-32.891374</v>
      </c>
    </row>
    <row r="413">
      <c r="A413" s="1">
        <v>1618.0</v>
      </c>
      <c r="D413" s="1" t="s">
        <v>2990</v>
      </c>
      <c r="E413" s="1" t="s">
        <v>1104</v>
      </c>
      <c r="F413" s="1" t="s">
        <v>2823</v>
      </c>
      <c r="G413" s="1" t="s">
        <v>2991</v>
      </c>
      <c r="I413" s="1" t="s">
        <v>21</v>
      </c>
      <c r="J413" s="1" t="s">
        <v>2993</v>
      </c>
      <c r="K413" s="2">
        <v>-68.83891</v>
      </c>
      <c r="L413" s="2">
        <v>-32.891374</v>
      </c>
    </row>
    <row r="414">
      <c r="A414" s="1">
        <v>212.0</v>
      </c>
      <c r="B414" s="1" t="s">
        <v>29</v>
      </c>
      <c r="C414" s="1" t="s">
        <v>1103</v>
      </c>
      <c r="D414" s="1" t="s">
        <v>1103</v>
      </c>
      <c r="E414" s="1" t="s">
        <v>1104</v>
      </c>
      <c r="F414" s="1" t="s">
        <v>2997</v>
      </c>
      <c r="G414" s="3" t="s">
        <v>2998</v>
      </c>
      <c r="H414" s="1" t="s">
        <v>1103</v>
      </c>
      <c r="I414" s="1" t="s">
        <v>21</v>
      </c>
      <c r="J414" s="1" t="s">
        <v>2999</v>
      </c>
      <c r="K414" s="2">
        <v>-68.840446</v>
      </c>
      <c r="L414" s="2">
        <v>-32.8899989</v>
      </c>
    </row>
    <row r="415">
      <c r="A415" s="1">
        <v>524.0</v>
      </c>
      <c r="B415" s="1" t="s">
        <v>109</v>
      </c>
      <c r="C415" s="1">
        <v>4.0</v>
      </c>
      <c r="D415" s="1" t="s">
        <v>264</v>
      </c>
      <c r="E415" s="1" t="s">
        <v>1104</v>
      </c>
      <c r="F415" s="1" t="s">
        <v>2997</v>
      </c>
      <c r="G415" s="1" t="s">
        <v>3002</v>
      </c>
      <c r="H415" s="1" t="s">
        <v>266</v>
      </c>
      <c r="I415" s="1" t="s">
        <v>21</v>
      </c>
      <c r="J415" s="1" t="s">
        <v>3005</v>
      </c>
      <c r="K415" s="2">
        <v>-68.83801799999999</v>
      </c>
      <c r="L415" s="2">
        <v>-32.88599</v>
      </c>
    </row>
    <row r="416">
      <c r="A416" s="1">
        <v>527.0</v>
      </c>
      <c r="B416" s="1" t="s">
        <v>109</v>
      </c>
      <c r="C416" s="1">
        <v>5.0</v>
      </c>
      <c r="D416" s="1" t="s">
        <v>505</v>
      </c>
      <c r="E416" s="1" t="s">
        <v>1104</v>
      </c>
      <c r="F416" s="1" t="s">
        <v>2997</v>
      </c>
      <c r="G416" s="1" t="s">
        <v>3012</v>
      </c>
      <c r="H416" s="1" t="s">
        <v>506</v>
      </c>
      <c r="I416" s="1" t="s">
        <v>21</v>
      </c>
      <c r="J416" s="1" t="s">
        <v>3014</v>
      </c>
      <c r="K416" s="2">
        <v>-68.8381189</v>
      </c>
      <c r="L416" s="2">
        <v>-32.886451</v>
      </c>
    </row>
    <row r="417">
      <c r="A417" s="1">
        <v>566.0</v>
      </c>
      <c r="B417" s="1" t="s">
        <v>109</v>
      </c>
      <c r="C417" s="1">
        <v>1.0</v>
      </c>
      <c r="D417" s="1" t="s">
        <v>3017</v>
      </c>
      <c r="E417" s="1" t="s">
        <v>1104</v>
      </c>
      <c r="F417" s="1" t="s">
        <v>2997</v>
      </c>
      <c r="G417" s="1" t="s">
        <v>640</v>
      </c>
      <c r="H417" s="1">
        <v>0.0</v>
      </c>
      <c r="I417" s="1" t="s">
        <v>21</v>
      </c>
      <c r="J417" s="1" t="s">
        <v>643</v>
      </c>
      <c r="K417" s="2">
        <v>-68.8379972</v>
      </c>
      <c r="L417" s="2">
        <v>-32.8849071</v>
      </c>
    </row>
    <row r="418">
      <c r="A418" s="1">
        <v>828.0</v>
      </c>
      <c r="B418" s="1" t="s">
        <v>55</v>
      </c>
      <c r="C418" s="1">
        <v>15.0</v>
      </c>
      <c r="D418" s="1" t="s">
        <v>3020</v>
      </c>
      <c r="E418" s="1" t="s">
        <v>1104</v>
      </c>
      <c r="F418" s="1" t="s">
        <v>2997</v>
      </c>
      <c r="G418" s="1" t="s">
        <v>3022</v>
      </c>
      <c r="H418" s="3" t="s">
        <v>2828</v>
      </c>
      <c r="I418" s="1" t="s">
        <v>21</v>
      </c>
      <c r="J418" s="1" t="s">
        <v>3025</v>
      </c>
      <c r="K418" s="2">
        <v>-68.8419066</v>
      </c>
      <c r="L418" s="2">
        <v>-32.8854045</v>
      </c>
    </row>
    <row r="419">
      <c r="A419" s="1">
        <v>853.0</v>
      </c>
      <c r="B419" s="1" t="s">
        <v>55</v>
      </c>
      <c r="C419" s="1">
        <v>2.0</v>
      </c>
      <c r="D419" s="1" t="s">
        <v>3029</v>
      </c>
      <c r="E419" s="1" t="s">
        <v>1104</v>
      </c>
      <c r="F419" s="1" t="s">
        <v>2997</v>
      </c>
      <c r="G419" s="1" t="s">
        <v>3030</v>
      </c>
      <c r="H419" s="1" t="s">
        <v>3031</v>
      </c>
      <c r="I419" s="1" t="s">
        <v>21</v>
      </c>
      <c r="J419" s="1" t="s">
        <v>3032</v>
      </c>
      <c r="K419" s="2">
        <v>-68.844235</v>
      </c>
      <c r="L419" s="2">
        <v>-32.885028</v>
      </c>
    </row>
    <row r="420">
      <c r="A420" s="1">
        <v>940.0</v>
      </c>
      <c r="B420" s="1" t="s">
        <v>55</v>
      </c>
      <c r="C420" s="1">
        <v>8.0</v>
      </c>
      <c r="D420" s="1">
        <v>0.0</v>
      </c>
      <c r="E420" s="1" t="s">
        <v>1104</v>
      </c>
      <c r="F420" s="1" t="s">
        <v>2997</v>
      </c>
      <c r="G420" s="1" t="s">
        <v>3034</v>
      </c>
      <c r="H420" s="3" t="s">
        <v>3038</v>
      </c>
      <c r="I420" s="1" t="s">
        <v>21</v>
      </c>
      <c r="J420" s="1" t="s">
        <v>3040</v>
      </c>
      <c r="K420" s="2">
        <v>-68.8396659</v>
      </c>
      <c r="L420" s="2">
        <v>-32.8861239</v>
      </c>
    </row>
    <row r="421">
      <c r="A421" s="1">
        <v>1238.0</v>
      </c>
      <c r="B421" s="1" t="s">
        <v>227</v>
      </c>
      <c r="C421" s="1" t="s">
        <v>1103</v>
      </c>
      <c r="D421" s="1" t="s">
        <v>1103</v>
      </c>
      <c r="E421" s="1" t="s">
        <v>1104</v>
      </c>
      <c r="F421" s="1" t="s">
        <v>2997</v>
      </c>
      <c r="G421" s="1" t="s">
        <v>3046</v>
      </c>
      <c r="H421" s="1" t="s">
        <v>1103</v>
      </c>
      <c r="I421" s="1" t="s">
        <v>21</v>
      </c>
      <c r="J421" s="1" t="s">
        <v>3048</v>
      </c>
      <c r="K421" s="2">
        <v>-68.8384558</v>
      </c>
      <c r="L421" s="2">
        <v>-32.8841221</v>
      </c>
    </row>
    <row r="422">
      <c r="A422" s="1">
        <v>1468.0</v>
      </c>
      <c r="D422" s="1" t="s">
        <v>3050</v>
      </c>
      <c r="E422" s="1" t="s">
        <v>1104</v>
      </c>
      <c r="F422" s="1" t="s">
        <v>3051</v>
      </c>
      <c r="G422" s="1" t="s">
        <v>3053</v>
      </c>
      <c r="I422" s="1" t="s">
        <v>21</v>
      </c>
      <c r="J422" s="1" t="s">
        <v>3054</v>
      </c>
      <c r="K422" s="2">
        <v>-68.838724</v>
      </c>
      <c r="L422" s="2">
        <v>-32.889123</v>
      </c>
    </row>
    <row r="423">
      <c r="A423" s="1">
        <v>1475.0</v>
      </c>
      <c r="D423" s="1" t="s">
        <v>3056</v>
      </c>
      <c r="E423" s="1" t="s">
        <v>1104</v>
      </c>
      <c r="F423" s="1" t="s">
        <v>3051</v>
      </c>
      <c r="G423" s="1" t="s">
        <v>3057</v>
      </c>
      <c r="I423" s="1" t="s">
        <v>21</v>
      </c>
      <c r="J423" s="1" t="s">
        <v>3059</v>
      </c>
      <c r="K423" s="2">
        <v>-68.838724</v>
      </c>
      <c r="L423" s="2">
        <v>-32.889123</v>
      </c>
    </row>
    <row r="424">
      <c r="A424" s="1">
        <v>1481.0</v>
      </c>
      <c r="D424" s="1" t="s">
        <v>3062</v>
      </c>
      <c r="E424" s="1" t="s">
        <v>1104</v>
      </c>
      <c r="F424" s="1" t="s">
        <v>3051</v>
      </c>
      <c r="G424" s="1" t="s">
        <v>3065</v>
      </c>
      <c r="I424" s="1" t="s">
        <v>21</v>
      </c>
      <c r="J424" s="1" t="s">
        <v>3067</v>
      </c>
      <c r="K424" s="2">
        <v>-68.838724</v>
      </c>
      <c r="L424" s="2">
        <v>-32.889123</v>
      </c>
    </row>
    <row r="425">
      <c r="A425" s="1">
        <v>89.0</v>
      </c>
      <c r="B425" s="1" t="s">
        <v>29</v>
      </c>
      <c r="C425" s="1" t="s">
        <v>1103</v>
      </c>
      <c r="D425" s="1" t="s">
        <v>1103</v>
      </c>
      <c r="E425" s="1" t="s">
        <v>1104</v>
      </c>
      <c r="F425" s="1" t="s">
        <v>3069</v>
      </c>
      <c r="G425" s="3" t="s">
        <v>3071</v>
      </c>
      <c r="H425" s="1" t="s">
        <v>1103</v>
      </c>
      <c r="I425" s="1" t="s">
        <v>21</v>
      </c>
      <c r="J425" s="1" t="s">
        <v>3140</v>
      </c>
      <c r="K425" s="2">
        <v>-68.8391998</v>
      </c>
      <c r="L425" s="2">
        <v>-32.8840703</v>
      </c>
    </row>
    <row r="426">
      <c r="A426" s="1">
        <v>101.0</v>
      </c>
      <c r="B426" s="1" t="s">
        <v>29</v>
      </c>
      <c r="C426" s="1" t="s">
        <v>1103</v>
      </c>
      <c r="D426" s="1" t="s">
        <v>1103</v>
      </c>
      <c r="E426" s="1" t="s">
        <v>1104</v>
      </c>
      <c r="F426" s="1" t="s">
        <v>3069</v>
      </c>
      <c r="G426" s="3" t="s">
        <v>3151</v>
      </c>
      <c r="H426" s="1" t="s">
        <v>1103</v>
      </c>
      <c r="I426" s="1" t="s">
        <v>21</v>
      </c>
      <c r="J426" s="1" t="s">
        <v>3154</v>
      </c>
      <c r="K426" s="2">
        <v>-68.839443</v>
      </c>
      <c r="L426" s="2">
        <v>-32.885121</v>
      </c>
    </row>
    <row r="427">
      <c r="A427" s="1">
        <v>120.0</v>
      </c>
      <c r="B427" s="1" t="s">
        <v>29</v>
      </c>
      <c r="C427" s="1" t="s">
        <v>1103</v>
      </c>
      <c r="D427" s="1" t="s">
        <v>1103</v>
      </c>
      <c r="E427" s="1" t="s">
        <v>1104</v>
      </c>
      <c r="F427" s="1" t="s">
        <v>3069</v>
      </c>
      <c r="G427" s="3" t="s">
        <v>3161</v>
      </c>
      <c r="H427" s="1" t="s">
        <v>1103</v>
      </c>
      <c r="I427" s="1" t="s">
        <v>21</v>
      </c>
      <c r="J427" s="1" t="s">
        <v>3163</v>
      </c>
      <c r="K427" s="2">
        <v>-68.8406602</v>
      </c>
      <c r="L427" s="2">
        <v>-32.8896169</v>
      </c>
    </row>
    <row r="428">
      <c r="A428" s="1">
        <v>121.0</v>
      </c>
      <c r="B428" s="1" t="s">
        <v>29</v>
      </c>
      <c r="C428" s="1" t="s">
        <v>1103</v>
      </c>
      <c r="D428" s="1" t="s">
        <v>1103</v>
      </c>
      <c r="E428" s="1" t="s">
        <v>1104</v>
      </c>
      <c r="F428" s="1" t="s">
        <v>3069</v>
      </c>
      <c r="G428" s="3" t="s">
        <v>3167</v>
      </c>
      <c r="H428" s="1" t="s">
        <v>1103</v>
      </c>
      <c r="I428" s="1" t="s">
        <v>21</v>
      </c>
      <c r="J428" s="1" t="s">
        <v>3169</v>
      </c>
      <c r="K428" s="2">
        <v>-68.8406339</v>
      </c>
      <c r="L428" s="2">
        <v>-32.8896518</v>
      </c>
    </row>
    <row r="429">
      <c r="A429" s="1">
        <v>142.0</v>
      </c>
      <c r="B429" s="1" t="s">
        <v>29</v>
      </c>
      <c r="C429" s="1" t="s">
        <v>1103</v>
      </c>
      <c r="D429" s="1" t="s">
        <v>1103</v>
      </c>
      <c r="E429" s="1" t="s">
        <v>1104</v>
      </c>
      <c r="F429" s="1" t="s">
        <v>3069</v>
      </c>
      <c r="G429" s="3" t="s">
        <v>2315</v>
      </c>
      <c r="H429" s="1" t="s">
        <v>1103</v>
      </c>
      <c r="I429" s="1" t="s">
        <v>21</v>
      </c>
      <c r="J429" s="1" t="s">
        <v>3174</v>
      </c>
      <c r="K429" s="2">
        <v>-68.8408578</v>
      </c>
      <c r="L429" s="2">
        <v>-32.8905821</v>
      </c>
    </row>
    <row r="430">
      <c r="A430" s="1">
        <v>157.0</v>
      </c>
      <c r="B430" s="1" t="s">
        <v>29</v>
      </c>
      <c r="C430" s="1" t="s">
        <v>1103</v>
      </c>
      <c r="D430" s="1" t="s">
        <v>1103</v>
      </c>
      <c r="E430" s="1" t="s">
        <v>1104</v>
      </c>
      <c r="F430" s="1" t="s">
        <v>3069</v>
      </c>
      <c r="G430" s="3" t="s">
        <v>1521</v>
      </c>
      <c r="H430" s="1" t="s">
        <v>1103</v>
      </c>
      <c r="I430" s="1" t="s">
        <v>21</v>
      </c>
      <c r="J430" s="1" t="s">
        <v>1523</v>
      </c>
      <c r="K430" s="2">
        <v>-68.8410275</v>
      </c>
      <c r="L430" s="2">
        <v>-32.8911443</v>
      </c>
    </row>
    <row r="431">
      <c r="A431" s="1">
        <v>160.0</v>
      </c>
      <c r="B431" s="1" t="s">
        <v>29</v>
      </c>
      <c r="C431" s="1" t="s">
        <v>1103</v>
      </c>
      <c r="D431" s="1" t="s">
        <v>1103</v>
      </c>
      <c r="E431" s="1" t="s">
        <v>1104</v>
      </c>
      <c r="F431" s="1" t="s">
        <v>3069</v>
      </c>
      <c r="G431" s="3" t="s">
        <v>3184</v>
      </c>
      <c r="H431" s="1" t="s">
        <v>1103</v>
      </c>
      <c r="I431" s="1" t="s">
        <v>21</v>
      </c>
      <c r="J431" s="1" t="s">
        <v>3185</v>
      </c>
      <c r="K431" s="2">
        <v>-68.841042</v>
      </c>
      <c r="L431" s="2">
        <v>-32.891211</v>
      </c>
    </row>
    <row r="432">
      <c r="A432" s="1">
        <v>167.0</v>
      </c>
      <c r="B432" s="1" t="s">
        <v>29</v>
      </c>
      <c r="C432" s="1" t="s">
        <v>1103</v>
      </c>
      <c r="D432" s="1" t="s">
        <v>1103</v>
      </c>
      <c r="E432" s="1" t="s">
        <v>1104</v>
      </c>
      <c r="F432" s="1" t="s">
        <v>3069</v>
      </c>
      <c r="G432" s="3" t="s">
        <v>1451</v>
      </c>
      <c r="H432" s="1" t="s">
        <v>1103</v>
      </c>
      <c r="I432" s="1" t="s">
        <v>21</v>
      </c>
      <c r="J432" s="1" t="s">
        <v>3211</v>
      </c>
      <c r="K432" s="2">
        <v>-68.841409</v>
      </c>
      <c r="L432" s="2">
        <v>-32.8919</v>
      </c>
    </row>
    <row r="433">
      <c r="A433" s="1">
        <v>173.0</v>
      </c>
      <c r="B433" s="1" t="s">
        <v>29</v>
      </c>
      <c r="C433" s="1" t="s">
        <v>1103</v>
      </c>
      <c r="D433" s="1" t="s">
        <v>3216</v>
      </c>
      <c r="E433" s="1" t="s">
        <v>1104</v>
      </c>
      <c r="F433" s="1" t="s">
        <v>3069</v>
      </c>
      <c r="G433" s="3" t="s">
        <v>3220</v>
      </c>
      <c r="H433" s="1" t="s">
        <v>1103</v>
      </c>
      <c r="I433" s="1" t="s">
        <v>21</v>
      </c>
      <c r="J433" s="1" t="s">
        <v>3223</v>
      </c>
      <c r="K433" s="2">
        <v>-68.8413219</v>
      </c>
      <c r="L433" s="2">
        <v>-32.8922663</v>
      </c>
    </row>
    <row r="434">
      <c r="A434" s="1">
        <v>178.0</v>
      </c>
      <c r="B434" s="1" t="s">
        <v>29</v>
      </c>
      <c r="C434" s="1" t="s">
        <v>1103</v>
      </c>
      <c r="D434" s="1" t="s">
        <v>1103</v>
      </c>
      <c r="E434" s="1" t="s">
        <v>1104</v>
      </c>
      <c r="F434" s="1" t="s">
        <v>3069</v>
      </c>
      <c r="G434" s="3" t="s">
        <v>2214</v>
      </c>
      <c r="H434" s="1" t="s">
        <v>1103</v>
      </c>
      <c r="I434" s="1" t="s">
        <v>21</v>
      </c>
      <c r="J434" s="1" t="s">
        <v>3232</v>
      </c>
      <c r="K434" s="2">
        <v>-68.8410651</v>
      </c>
      <c r="L434" s="2">
        <v>-32.892337</v>
      </c>
    </row>
    <row r="435">
      <c r="A435" s="1">
        <v>181.0</v>
      </c>
      <c r="B435" s="1" t="s">
        <v>29</v>
      </c>
      <c r="C435" s="1" t="s">
        <v>1103</v>
      </c>
      <c r="D435" s="1" t="s">
        <v>1103</v>
      </c>
      <c r="E435" s="1" t="s">
        <v>1104</v>
      </c>
      <c r="F435" s="1" t="s">
        <v>3069</v>
      </c>
      <c r="G435" s="3" t="s">
        <v>3238</v>
      </c>
      <c r="H435" s="1" t="s">
        <v>1103</v>
      </c>
      <c r="I435" s="1" t="s">
        <v>21</v>
      </c>
      <c r="J435" s="1" t="s">
        <v>3240</v>
      </c>
      <c r="K435" s="2">
        <v>-68.8409533</v>
      </c>
      <c r="L435" s="2">
        <v>-32.8921478</v>
      </c>
    </row>
    <row r="436">
      <c r="A436" s="1">
        <v>182.0</v>
      </c>
      <c r="B436" s="1" t="s">
        <v>29</v>
      </c>
      <c r="C436" s="1" t="s">
        <v>1103</v>
      </c>
      <c r="D436" s="1" t="s">
        <v>1103</v>
      </c>
      <c r="E436" s="1" t="s">
        <v>1104</v>
      </c>
      <c r="F436" s="1" t="s">
        <v>3069</v>
      </c>
      <c r="G436" s="3" t="s">
        <v>3276</v>
      </c>
      <c r="H436" s="1" t="s">
        <v>1103</v>
      </c>
      <c r="I436" s="1" t="s">
        <v>21</v>
      </c>
      <c r="J436" s="1" t="s">
        <v>3277</v>
      </c>
      <c r="K436" s="2">
        <v>-68.8409288</v>
      </c>
      <c r="L436" s="2">
        <v>-32.8920209</v>
      </c>
    </row>
    <row r="437">
      <c r="A437" s="1">
        <v>184.0</v>
      </c>
      <c r="B437" s="1" t="s">
        <v>29</v>
      </c>
      <c r="C437" s="1" t="s">
        <v>1103</v>
      </c>
      <c r="D437" s="1" t="s">
        <v>1103</v>
      </c>
      <c r="E437" s="1" t="s">
        <v>1104</v>
      </c>
      <c r="F437" s="1" t="s">
        <v>3069</v>
      </c>
      <c r="G437" s="3" t="s">
        <v>3285</v>
      </c>
      <c r="H437" s="1" t="s">
        <v>1103</v>
      </c>
      <c r="I437" s="1" t="s">
        <v>21</v>
      </c>
      <c r="J437" s="1" t="s">
        <v>3287</v>
      </c>
      <c r="K437" s="2">
        <v>-68.8409569</v>
      </c>
      <c r="L437" s="2">
        <v>-32.8919038</v>
      </c>
    </row>
    <row r="438">
      <c r="A438" s="1">
        <v>185.0</v>
      </c>
      <c r="B438" s="1" t="s">
        <v>29</v>
      </c>
      <c r="C438" s="1" t="s">
        <v>1103</v>
      </c>
      <c r="D438" s="1" t="s">
        <v>3290</v>
      </c>
      <c r="E438" s="1" t="s">
        <v>1104</v>
      </c>
      <c r="F438" s="1" t="s">
        <v>3069</v>
      </c>
      <c r="G438" s="3" t="s">
        <v>3292</v>
      </c>
      <c r="H438" s="1" t="s">
        <v>1103</v>
      </c>
      <c r="I438" s="1" t="s">
        <v>21</v>
      </c>
      <c r="J438" s="1" t="s">
        <v>3294</v>
      </c>
      <c r="K438" s="2">
        <v>-68.84086239999999</v>
      </c>
      <c r="L438" s="2">
        <v>-32.8918221</v>
      </c>
    </row>
    <row r="439">
      <c r="A439" s="1">
        <v>187.0</v>
      </c>
      <c r="B439" s="1" t="s">
        <v>29</v>
      </c>
      <c r="C439" s="1" t="s">
        <v>1103</v>
      </c>
      <c r="D439" s="1" t="s">
        <v>1103</v>
      </c>
      <c r="E439" s="1" t="s">
        <v>1104</v>
      </c>
      <c r="F439" s="1" t="s">
        <v>3069</v>
      </c>
      <c r="G439" s="3" t="s">
        <v>1909</v>
      </c>
      <c r="H439" s="1" t="s">
        <v>1103</v>
      </c>
      <c r="I439" s="1" t="s">
        <v>21</v>
      </c>
      <c r="J439" s="1" t="s">
        <v>1911</v>
      </c>
      <c r="K439" s="2">
        <v>-68.8389643</v>
      </c>
      <c r="L439" s="2">
        <v>-32.8844097</v>
      </c>
    </row>
    <row r="440">
      <c r="A440" s="1">
        <v>201.0</v>
      </c>
      <c r="B440" s="1" t="s">
        <v>29</v>
      </c>
      <c r="C440" s="1" t="s">
        <v>1103</v>
      </c>
      <c r="D440" s="1" t="s">
        <v>1103</v>
      </c>
      <c r="E440" s="1" t="s">
        <v>1104</v>
      </c>
      <c r="F440" s="1" t="s">
        <v>3069</v>
      </c>
      <c r="G440" s="1" t="s">
        <v>3305</v>
      </c>
      <c r="H440" s="1" t="s">
        <v>1103</v>
      </c>
      <c r="I440" s="1" t="s">
        <v>21</v>
      </c>
      <c r="J440" s="1" t="s">
        <v>3307</v>
      </c>
      <c r="K440" s="2">
        <v>-68.840718</v>
      </c>
      <c r="L440" s="2">
        <v>-32.890864</v>
      </c>
    </row>
    <row r="441">
      <c r="A441" s="1">
        <v>206.0</v>
      </c>
      <c r="B441" s="1" t="s">
        <v>29</v>
      </c>
      <c r="C441" s="1" t="s">
        <v>1103</v>
      </c>
      <c r="D441" s="1" t="s">
        <v>1103</v>
      </c>
      <c r="E441" s="1" t="s">
        <v>1104</v>
      </c>
      <c r="F441" s="1" t="s">
        <v>3069</v>
      </c>
      <c r="G441" s="3" t="s">
        <v>3311</v>
      </c>
      <c r="H441" s="1" t="s">
        <v>1103</v>
      </c>
      <c r="I441" s="1" t="s">
        <v>21</v>
      </c>
      <c r="J441" s="1" t="s">
        <v>3314</v>
      </c>
      <c r="K441" s="2">
        <v>-68.84065</v>
      </c>
      <c r="L441" s="2">
        <v>-32.8905869</v>
      </c>
    </row>
    <row r="442">
      <c r="A442" s="1">
        <v>238.0</v>
      </c>
      <c r="B442" s="1" t="s">
        <v>29</v>
      </c>
      <c r="C442" s="1" t="s">
        <v>1103</v>
      </c>
      <c r="D442" s="1" t="s">
        <v>1103</v>
      </c>
      <c r="E442" s="1" t="s">
        <v>1104</v>
      </c>
      <c r="F442" s="1" t="s">
        <v>3069</v>
      </c>
      <c r="G442" s="3" t="s">
        <v>3318</v>
      </c>
      <c r="H442" s="1" t="s">
        <v>1103</v>
      </c>
      <c r="I442" s="1" t="s">
        <v>21</v>
      </c>
      <c r="J442" s="1" t="s">
        <v>3319</v>
      </c>
      <c r="K442" s="2">
        <v>-68.8393572</v>
      </c>
      <c r="L442" s="2">
        <v>-32.8858359</v>
      </c>
    </row>
    <row r="443">
      <c r="A443" s="1">
        <v>244.0</v>
      </c>
      <c r="B443" s="1" t="s">
        <v>29</v>
      </c>
      <c r="C443" s="1" t="s">
        <v>1103</v>
      </c>
      <c r="D443" s="1" t="s">
        <v>1103</v>
      </c>
      <c r="E443" s="1" t="s">
        <v>1104</v>
      </c>
      <c r="F443" s="1" t="s">
        <v>3069</v>
      </c>
      <c r="G443" s="3" t="s">
        <v>1877</v>
      </c>
      <c r="H443" s="1" t="s">
        <v>1103</v>
      </c>
      <c r="I443" s="1" t="s">
        <v>21</v>
      </c>
      <c r="J443" s="1" t="s">
        <v>1878</v>
      </c>
      <c r="K443" s="2">
        <v>-68.839291</v>
      </c>
      <c r="L443" s="2">
        <v>-32.885546</v>
      </c>
    </row>
    <row r="444">
      <c r="A444" s="1">
        <v>249.0</v>
      </c>
      <c r="B444" s="1" t="s">
        <v>29</v>
      </c>
      <c r="C444" s="1" t="s">
        <v>1103</v>
      </c>
      <c r="D444" s="1" t="s">
        <v>1103</v>
      </c>
      <c r="E444" s="1" t="s">
        <v>1104</v>
      </c>
      <c r="F444" s="1" t="s">
        <v>3069</v>
      </c>
      <c r="G444" s="3" t="s">
        <v>3332</v>
      </c>
      <c r="H444" s="1" t="s">
        <v>1103</v>
      </c>
      <c r="I444" s="1" t="s">
        <v>21</v>
      </c>
      <c r="J444" s="1" t="s">
        <v>3334</v>
      </c>
      <c r="K444" s="2">
        <v>-68.8390877</v>
      </c>
      <c r="L444" s="2">
        <v>-32.8849207</v>
      </c>
    </row>
    <row r="445">
      <c r="A445" s="1">
        <v>255.0</v>
      </c>
      <c r="B445" s="1" t="s">
        <v>29</v>
      </c>
      <c r="C445" s="1" t="s">
        <v>1103</v>
      </c>
      <c r="D445" s="1" t="s">
        <v>3339</v>
      </c>
      <c r="E445" s="1" t="s">
        <v>1104</v>
      </c>
      <c r="F445" s="1" t="s">
        <v>3069</v>
      </c>
      <c r="G445" s="3" t="s">
        <v>3342</v>
      </c>
      <c r="H445" s="1" t="s">
        <v>1103</v>
      </c>
      <c r="I445" s="1" t="s">
        <v>21</v>
      </c>
      <c r="J445" s="1" t="s">
        <v>3345</v>
      </c>
      <c r="K445" s="2">
        <v>-68.83910159999999</v>
      </c>
      <c r="L445" s="2">
        <v>-32.8845862</v>
      </c>
    </row>
    <row r="446">
      <c r="A446" s="1">
        <v>261.0</v>
      </c>
      <c r="B446" s="1" t="s">
        <v>29</v>
      </c>
      <c r="C446" s="1" t="s">
        <v>1103</v>
      </c>
      <c r="D446" s="1" t="s">
        <v>1103</v>
      </c>
      <c r="E446" s="1" t="s">
        <v>1104</v>
      </c>
      <c r="F446" s="1" t="s">
        <v>3069</v>
      </c>
      <c r="G446" s="3" t="s">
        <v>3350</v>
      </c>
      <c r="H446" s="1" t="s">
        <v>1103</v>
      </c>
      <c r="I446" s="1" t="s">
        <v>21</v>
      </c>
      <c r="J446" s="1" t="s">
        <v>3352</v>
      </c>
      <c r="K446" s="2">
        <v>-68.83890389999999</v>
      </c>
      <c r="L446" s="2">
        <v>-32.884181</v>
      </c>
    </row>
    <row r="447">
      <c r="A447" s="1">
        <v>417.0</v>
      </c>
      <c r="B447" s="1" t="s">
        <v>24</v>
      </c>
      <c r="C447" s="1">
        <v>16.0</v>
      </c>
      <c r="D447" s="1" t="s">
        <v>2852</v>
      </c>
      <c r="E447" s="1" t="s">
        <v>1104</v>
      </c>
      <c r="F447" s="1" t="s">
        <v>3069</v>
      </c>
      <c r="G447" s="1" t="s">
        <v>1986</v>
      </c>
      <c r="H447" s="1" t="s">
        <v>3360</v>
      </c>
      <c r="I447" s="1" t="s">
        <v>21</v>
      </c>
      <c r="J447" s="1" t="s">
        <v>1987</v>
      </c>
      <c r="K447" s="2">
        <v>-68.8602179</v>
      </c>
      <c r="L447" s="2">
        <v>-32.8911736</v>
      </c>
    </row>
    <row r="448">
      <c r="A448" s="1">
        <v>526.0</v>
      </c>
      <c r="B448" s="1" t="s">
        <v>109</v>
      </c>
      <c r="C448" s="1">
        <v>5.0</v>
      </c>
      <c r="D448" s="1" t="s">
        <v>3363</v>
      </c>
      <c r="E448" s="1" t="s">
        <v>1104</v>
      </c>
      <c r="F448" s="1" t="s">
        <v>3069</v>
      </c>
      <c r="G448" s="1" t="s">
        <v>3366</v>
      </c>
      <c r="H448" s="1" t="s">
        <v>3367</v>
      </c>
      <c r="I448" s="1" t="s">
        <v>21</v>
      </c>
      <c r="J448" s="1" t="s">
        <v>3368</v>
      </c>
      <c r="K448" s="2">
        <v>-68.8381114</v>
      </c>
      <c r="L448" s="2">
        <v>-32.8864514</v>
      </c>
    </row>
    <row r="449">
      <c r="A449" s="1">
        <v>536.0</v>
      </c>
      <c r="B449" s="1" t="s">
        <v>109</v>
      </c>
      <c r="C449" s="1">
        <v>6.0</v>
      </c>
      <c r="D449" s="1" t="s">
        <v>3373</v>
      </c>
      <c r="E449" s="1" t="s">
        <v>1104</v>
      </c>
      <c r="F449" s="1" t="s">
        <v>3069</v>
      </c>
      <c r="G449" s="1" t="s">
        <v>2849</v>
      </c>
      <c r="H449" s="1" t="s">
        <v>2418</v>
      </c>
      <c r="I449" s="1" t="s">
        <v>21</v>
      </c>
      <c r="J449" s="1" t="s">
        <v>2851</v>
      </c>
      <c r="K449" s="2">
        <v>-68.83832</v>
      </c>
      <c r="L449" s="2">
        <v>-32.8870274</v>
      </c>
    </row>
    <row r="450">
      <c r="A450" s="1">
        <v>544.0</v>
      </c>
      <c r="B450" s="1" t="s">
        <v>109</v>
      </c>
      <c r="C450" s="1">
        <v>1.0</v>
      </c>
      <c r="D450" s="1" t="s">
        <v>297</v>
      </c>
      <c r="E450" s="1" t="s">
        <v>1104</v>
      </c>
      <c r="F450" s="1" t="s">
        <v>3069</v>
      </c>
      <c r="G450" s="1" t="s">
        <v>3381</v>
      </c>
      <c r="H450" s="1" t="s">
        <v>368</v>
      </c>
      <c r="I450" s="1" t="s">
        <v>21</v>
      </c>
      <c r="J450" s="1" t="s">
        <v>3383</v>
      </c>
      <c r="K450" s="2">
        <v>-68.837636</v>
      </c>
      <c r="L450" s="2">
        <v>-32.884698</v>
      </c>
    </row>
    <row r="451">
      <c r="A451" s="1">
        <v>807.0</v>
      </c>
      <c r="B451" s="1" t="s">
        <v>55</v>
      </c>
      <c r="C451" s="1">
        <v>8.0</v>
      </c>
      <c r="D451" s="1">
        <v>0.0</v>
      </c>
      <c r="E451" s="1" t="s">
        <v>1104</v>
      </c>
      <c r="F451" s="1" t="s">
        <v>3069</v>
      </c>
      <c r="G451" s="1" t="s">
        <v>2007</v>
      </c>
      <c r="H451" s="3" t="s">
        <v>972</v>
      </c>
      <c r="I451" s="1" t="s">
        <v>21</v>
      </c>
      <c r="J451" s="1" t="s">
        <v>3391</v>
      </c>
      <c r="K451" s="2">
        <v>-68.839995</v>
      </c>
      <c r="L451" s="2">
        <v>-32.88581</v>
      </c>
    </row>
    <row r="452">
      <c r="A452" s="1">
        <v>942.0</v>
      </c>
      <c r="B452" s="1" t="s">
        <v>55</v>
      </c>
      <c r="C452" s="1">
        <v>8.0</v>
      </c>
      <c r="D452" s="1">
        <v>0.0</v>
      </c>
      <c r="E452" s="1" t="s">
        <v>1104</v>
      </c>
      <c r="F452" s="1" t="s">
        <v>3069</v>
      </c>
      <c r="G452" s="1" t="s">
        <v>2010</v>
      </c>
      <c r="H452" s="3" t="s">
        <v>3220</v>
      </c>
      <c r="I452" s="1" t="s">
        <v>21</v>
      </c>
      <c r="J452" s="1" t="s">
        <v>3396</v>
      </c>
      <c r="K452" s="2">
        <v>-68.8403981</v>
      </c>
      <c r="L452" s="2">
        <v>-32.8860542</v>
      </c>
    </row>
    <row r="453">
      <c r="A453" s="1">
        <v>956.0</v>
      </c>
      <c r="B453" s="1" t="s">
        <v>55</v>
      </c>
      <c r="C453" s="1">
        <v>7.0</v>
      </c>
      <c r="D453" s="1" t="s">
        <v>3400</v>
      </c>
      <c r="E453" s="1" t="s">
        <v>1104</v>
      </c>
      <c r="F453" s="1" t="s">
        <v>3069</v>
      </c>
      <c r="G453" s="1" t="s">
        <v>1989</v>
      </c>
      <c r="H453" s="1" t="s">
        <v>3403</v>
      </c>
      <c r="I453" s="1" t="s">
        <v>21</v>
      </c>
      <c r="J453" s="1" t="s">
        <v>3404</v>
      </c>
      <c r="K453" s="2">
        <v>-68.839122</v>
      </c>
      <c r="L453" s="2">
        <v>-32.886316</v>
      </c>
    </row>
    <row r="454">
      <c r="A454" s="1">
        <v>962.0</v>
      </c>
      <c r="B454" s="1" t="s">
        <v>55</v>
      </c>
      <c r="C454" s="1">
        <v>7.0</v>
      </c>
      <c r="D454" s="1" t="s">
        <v>3409</v>
      </c>
      <c r="E454" s="1" t="s">
        <v>1104</v>
      </c>
      <c r="F454" s="1" t="s">
        <v>3069</v>
      </c>
      <c r="G454" s="1" t="s">
        <v>3410</v>
      </c>
      <c r="H454" s="3" t="s">
        <v>3184</v>
      </c>
      <c r="I454" s="1" t="s">
        <v>21</v>
      </c>
      <c r="J454" s="1" t="s">
        <v>3414</v>
      </c>
      <c r="K454" s="2">
        <v>-68.839258</v>
      </c>
      <c r="L454" s="2">
        <v>-32.886274</v>
      </c>
    </row>
    <row r="455">
      <c r="A455" s="1">
        <v>1060.0</v>
      </c>
      <c r="B455" s="1" t="s">
        <v>62</v>
      </c>
      <c r="C455" s="1">
        <v>4.0</v>
      </c>
      <c r="D455" s="1" t="s">
        <v>3416</v>
      </c>
      <c r="E455" s="1" t="s">
        <v>1104</v>
      </c>
      <c r="F455" s="1" t="s">
        <v>3069</v>
      </c>
      <c r="G455" s="1" t="s">
        <v>3418</v>
      </c>
      <c r="H455" s="1" t="s">
        <v>3420</v>
      </c>
      <c r="I455" s="1" t="s">
        <v>21</v>
      </c>
      <c r="J455" s="1" t="s">
        <v>3422</v>
      </c>
      <c r="K455" s="2">
        <v>-68.8466758</v>
      </c>
      <c r="L455" s="2">
        <v>-32.8939983</v>
      </c>
    </row>
    <row r="456">
      <c r="A456" s="1">
        <v>1064.0</v>
      </c>
      <c r="B456" s="1" t="s">
        <v>62</v>
      </c>
      <c r="C456" s="1">
        <v>5.0</v>
      </c>
      <c r="D456" s="1" t="s">
        <v>3426</v>
      </c>
      <c r="E456" s="1" t="s">
        <v>1104</v>
      </c>
      <c r="F456" s="1" t="s">
        <v>3069</v>
      </c>
      <c r="G456" s="1" t="s">
        <v>3430</v>
      </c>
      <c r="H456" s="1" t="s">
        <v>3431</v>
      </c>
      <c r="I456" s="1" t="s">
        <v>21</v>
      </c>
      <c r="J456" s="1" t="s">
        <v>3432</v>
      </c>
      <c r="K456" s="2">
        <v>-68.846229</v>
      </c>
      <c r="L456" s="2">
        <v>-32.894119</v>
      </c>
    </row>
    <row r="457">
      <c r="A457" s="1">
        <v>1076.0</v>
      </c>
      <c r="B457" s="1" t="s">
        <v>62</v>
      </c>
      <c r="C457" s="1">
        <v>1.0</v>
      </c>
      <c r="D457" s="1" t="s">
        <v>3435</v>
      </c>
      <c r="E457" s="1" t="s">
        <v>1104</v>
      </c>
      <c r="F457" s="1" t="s">
        <v>3069</v>
      </c>
      <c r="G457" s="1" t="s">
        <v>3437</v>
      </c>
      <c r="H457" s="1" t="s">
        <v>3438</v>
      </c>
      <c r="I457" s="1" t="s">
        <v>21</v>
      </c>
      <c r="J457" s="1" t="s">
        <v>3439</v>
      </c>
      <c r="K457" s="2">
        <v>-68.8452886</v>
      </c>
      <c r="L457" s="2">
        <v>-32.8942405</v>
      </c>
    </row>
    <row r="458">
      <c r="A458" s="1">
        <v>1226.0</v>
      </c>
      <c r="B458" s="1" t="s">
        <v>227</v>
      </c>
      <c r="C458" s="1" t="s">
        <v>1103</v>
      </c>
      <c r="D458" s="1" t="s">
        <v>1103</v>
      </c>
      <c r="E458" s="1" t="s">
        <v>1104</v>
      </c>
      <c r="F458" s="1" t="s">
        <v>3069</v>
      </c>
      <c r="G458" s="1" t="s">
        <v>3443</v>
      </c>
      <c r="H458" s="1" t="s">
        <v>1103</v>
      </c>
      <c r="I458" s="1" t="s">
        <v>21</v>
      </c>
      <c r="J458" s="1" t="s">
        <v>3445</v>
      </c>
      <c r="K458" s="2">
        <v>-68.8267479</v>
      </c>
      <c r="L458" s="2">
        <v>-32.8888225</v>
      </c>
    </row>
    <row r="459">
      <c r="A459" s="1">
        <v>1231.0</v>
      </c>
      <c r="B459" s="1" t="s">
        <v>227</v>
      </c>
      <c r="C459" s="1" t="s">
        <v>1103</v>
      </c>
      <c r="D459" s="1" t="s">
        <v>1103</v>
      </c>
      <c r="E459" s="1" t="s">
        <v>1104</v>
      </c>
      <c r="F459" s="1" t="s">
        <v>3069</v>
      </c>
      <c r="G459" s="1" t="s">
        <v>3449</v>
      </c>
      <c r="H459" s="1" t="s">
        <v>1103</v>
      </c>
      <c r="I459" s="1" t="s">
        <v>21</v>
      </c>
      <c r="J459" s="1" t="s">
        <v>3453</v>
      </c>
      <c r="K459" s="2">
        <v>-68.8279949</v>
      </c>
      <c r="L459" s="2">
        <v>-32.8888299</v>
      </c>
    </row>
    <row r="460">
      <c r="A460" s="1">
        <v>1261.0</v>
      </c>
      <c r="B460" s="1" t="s">
        <v>248</v>
      </c>
      <c r="C460" s="1" t="s">
        <v>1103</v>
      </c>
      <c r="D460" s="1" t="s">
        <v>3457</v>
      </c>
      <c r="E460" s="1" t="s">
        <v>1104</v>
      </c>
      <c r="F460" s="1" t="s">
        <v>3069</v>
      </c>
      <c r="G460" s="1" t="s">
        <v>3458</v>
      </c>
      <c r="H460" s="1" t="s">
        <v>1103</v>
      </c>
      <c r="I460" s="1" t="s">
        <v>21</v>
      </c>
      <c r="J460" s="1" t="s">
        <v>3461</v>
      </c>
      <c r="K460" s="2">
        <v>-68.8458386</v>
      </c>
      <c r="L460" s="2">
        <v>-32.8894587</v>
      </c>
    </row>
    <row r="461">
      <c r="A461" s="1">
        <v>1336.0</v>
      </c>
      <c r="B461" s="1" t="s">
        <v>248</v>
      </c>
      <c r="C461" s="1" t="s">
        <v>1103</v>
      </c>
      <c r="D461" s="1" t="s">
        <v>1103</v>
      </c>
      <c r="E461" s="1" t="s">
        <v>1104</v>
      </c>
      <c r="F461" s="1" t="s">
        <v>3069</v>
      </c>
      <c r="G461" s="1" t="s">
        <v>2473</v>
      </c>
      <c r="H461" s="1" t="s">
        <v>1103</v>
      </c>
      <c r="I461" s="1" t="s">
        <v>21</v>
      </c>
      <c r="J461" s="1" t="s">
        <v>2474</v>
      </c>
      <c r="K461" s="2">
        <v>-68.840436</v>
      </c>
      <c r="L461" s="2">
        <v>-32.8854709</v>
      </c>
    </row>
    <row r="462">
      <c r="A462" s="1">
        <v>1357.0</v>
      </c>
      <c r="B462" s="1" t="s">
        <v>248</v>
      </c>
      <c r="C462" s="1" t="s">
        <v>1103</v>
      </c>
      <c r="D462" s="1" t="s">
        <v>1103</v>
      </c>
      <c r="E462" s="1" t="s">
        <v>1104</v>
      </c>
      <c r="F462" s="1" t="s">
        <v>3069</v>
      </c>
      <c r="G462" s="1" t="s">
        <v>3469</v>
      </c>
      <c r="H462" s="1" t="s">
        <v>1103</v>
      </c>
      <c r="I462" s="1" t="s">
        <v>21</v>
      </c>
      <c r="J462" s="1" t="s">
        <v>3471</v>
      </c>
      <c r="K462" s="2">
        <v>-68.8458386</v>
      </c>
      <c r="L462" s="2">
        <v>-32.8894587</v>
      </c>
    </row>
    <row r="463">
      <c r="A463" s="1">
        <v>1459.0</v>
      </c>
      <c r="D463" s="1" t="s">
        <v>3475</v>
      </c>
      <c r="E463" s="1" t="s">
        <v>1104</v>
      </c>
      <c r="F463" s="1" t="s">
        <v>3069</v>
      </c>
      <c r="G463" s="1" t="s">
        <v>3478</v>
      </c>
      <c r="I463" s="1" t="s">
        <v>21</v>
      </c>
      <c r="J463" s="1" t="s">
        <v>3481</v>
      </c>
      <c r="K463" s="2">
        <v>-68.838724</v>
      </c>
      <c r="L463" s="2">
        <v>-32.889123</v>
      </c>
    </row>
    <row r="464">
      <c r="A464" s="1">
        <v>1556.0</v>
      </c>
      <c r="D464" s="1" t="s">
        <v>3483</v>
      </c>
      <c r="E464" s="1" t="s">
        <v>1104</v>
      </c>
      <c r="F464" s="1" t="s">
        <v>3069</v>
      </c>
      <c r="G464" s="1" t="s">
        <v>3484</v>
      </c>
      <c r="I464" s="1" t="s">
        <v>21</v>
      </c>
      <c r="J464" s="1" t="s">
        <v>3485</v>
      </c>
      <c r="K464" s="2">
        <v>-68.8377813</v>
      </c>
      <c r="L464" s="2">
        <v>-32.8874315</v>
      </c>
    </row>
    <row r="465">
      <c r="A465" s="1">
        <v>1563.0</v>
      </c>
      <c r="D465" s="1" t="s">
        <v>3486</v>
      </c>
      <c r="E465" s="1" t="s">
        <v>1104</v>
      </c>
      <c r="F465" s="1" t="s">
        <v>3069</v>
      </c>
      <c r="G465" s="1" t="s">
        <v>3487</v>
      </c>
      <c r="I465" s="1" t="s">
        <v>21</v>
      </c>
      <c r="J465" s="1" t="s">
        <v>3488</v>
      </c>
      <c r="K465" s="2">
        <v>-68.8405866</v>
      </c>
      <c r="L465" s="2">
        <v>-32.8876594</v>
      </c>
    </row>
    <row r="466">
      <c r="B466" s="1" t="s">
        <v>109</v>
      </c>
      <c r="D466" s="1" t="s">
        <v>3489</v>
      </c>
      <c r="E466" s="1" t="s">
        <v>1104</v>
      </c>
      <c r="F466" s="1" t="s">
        <v>3490</v>
      </c>
      <c r="G466" s="1" t="s">
        <v>3492</v>
      </c>
      <c r="H466" s="1" t="s">
        <v>3492</v>
      </c>
      <c r="I466" s="1" t="s">
        <v>21</v>
      </c>
      <c r="J466" s="1" t="s">
        <v>3494</v>
      </c>
      <c r="K466" s="2">
        <v>-68.838561</v>
      </c>
      <c r="L466" s="2">
        <v>-32.8874021</v>
      </c>
    </row>
    <row r="467">
      <c r="B467" s="1" t="s">
        <v>109</v>
      </c>
      <c r="D467" s="1" t="s">
        <v>1997</v>
      </c>
      <c r="E467" s="1" t="s">
        <v>1104</v>
      </c>
      <c r="F467" s="1" t="s">
        <v>3490</v>
      </c>
      <c r="G467" s="1" t="s">
        <v>3498</v>
      </c>
      <c r="H467" s="1" t="s">
        <v>3498</v>
      </c>
      <c r="I467" s="1" t="s">
        <v>21</v>
      </c>
      <c r="J467" s="1" t="s">
        <v>3499</v>
      </c>
      <c r="K467" s="2">
        <v>-68.8395922</v>
      </c>
      <c r="L467" s="2">
        <v>-32.8911871</v>
      </c>
    </row>
    <row r="468">
      <c r="A468" s="1">
        <v>29.0</v>
      </c>
      <c r="B468" s="1" t="s">
        <v>12</v>
      </c>
      <c r="C468" s="1">
        <v>0.0</v>
      </c>
      <c r="D468" s="1" t="s">
        <v>3500</v>
      </c>
      <c r="E468" s="1" t="s">
        <v>1104</v>
      </c>
      <c r="F468" s="1" t="s">
        <v>3501</v>
      </c>
      <c r="G468" s="1" t="s">
        <v>3502</v>
      </c>
      <c r="H468" s="1">
        <v>0.0</v>
      </c>
      <c r="I468" s="1" t="s">
        <v>21</v>
      </c>
      <c r="J468" s="1" t="s">
        <v>3503</v>
      </c>
      <c r="K468" s="2">
        <v>-68.856718</v>
      </c>
      <c r="L468" s="2">
        <v>-32.8835</v>
      </c>
    </row>
    <row r="469">
      <c r="A469" s="1">
        <v>183.0</v>
      </c>
      <c r="B469" s="1" t="s">
        <v>29</v>
      </c>
      <c r="C469" s="1" t="s">
        <v>1103</v>
      </c>
      <c r="D469" s="1" t="s">
        <v>1103</v>
      </c>
      <c r="E469" s="1" t="s">
        <v>1104</v>
      </c>
      <c r="F469" s="1" t="s">
        <v>3501</v>
      </c>
      <c r="G469" s="3" t="s">
        <v>3508</v>
      </c>
      <c r="H469" s="1" t="s">
        <v>1103</v>
      </c>
      <c r="I469" s="1" t="s">
        <v>21</v>
      </c>
      <c r="J469" s="1" t="s">
        <v>3509</v>
      </c>
      <c r="K469" s="2">
        <v>-68.8410619</v>
      </c>
      <c r="L469" s="2">
        <v>-32.8919436</v>
      </c>
    </row>
    <row r="470">
      <c r="A470" s="1">
        <v>208.0</v>
      </c>
      <c r="B470" s="1" t="s">
        <v>29</v>
      </c>
      <c r="C470" s="1" t="s">
        <v>1103</v>
      </c>
      <c r="D470" s="1" t="s">
        <v>3510</v>
      </c>
      <c r="E470" s="1" t="s">
        <v>1104</v>
      </c>
      <c r="F470" s="1" t="s">
        <v>3501</v>
      </c>
      <c r="G470" s="3" t="s">
        <v>3511</v>
      </c>
      <c r="H470" s="1" t="s">
        <v>1103</v>
      </c>
      <c r="I470" s="1" t="s">
        <v>21</v>
      </c>
      <c r="J470" s="1" t="s">
        <v>3512</v>
      </c>
      <c r="K470" s="2">
        <v>-68.840507</v>
      </c>
      <c r="L470" s="2">
        <v>-32.890136</v>
      </c>
    </row>
    <row r="471">
      <c r="A471" s="1">
        <v>280.0</v>
      </c>
      <c r="B471" s="1" t="s">
        <v>51</v>
      </c>
      <c r="C471" s="1" t="s">
        <v>1103</v>
      </c>
      <c r="D471" s="1" t="s">
        <v>1103</v>
      </c>
      <c r="E471" s="1" t="s">
        <v>1104</v>
      </c>
      <c r="F471" s="1" t="s">
        <v>3501</v>
      </c>
      <c r="G471" s="1" t="s">
        <v>3513</v>
      </c>
      <c r="H471" s="1" t="s">
        <v>1103</v>
      </c>
      <c r="I471" s="1" t="s">
        <v>21</v>
      </c>
      <c r="J471" s="1" t="s">
        <v>3515</v>
      </c>
      <c r="K471" s="2">
        <v>-68.84000449999999</v>
      </c>
      <c r="L471" s="2">
        <v>-32.890499</v>
      </c>
    </row>
    <row r="472">
      <c r="A472" s="1">
        <v>293.0</v>
      </c>
      <c r="B472" s="1" t="s">
        <v>51</v>
      </c>
      <c r="C472" s="1" t="s">
        <v>1103</v>
      </c>
      <c r="D472" s="1" t="s">
        <v>1103</v>
      </c>
      <c r="E472" s="1" t="s">
        <v>1104</v>
      </c>
      <c r="F472" s="1" t="s">
        <v>3501</v>
      </c>
      <c r="G472" s="1" t="s">
        <v>3518</v>
      </c>
      <c r="H472" s="1" t="s">
        <v>3518</v>
      </c>
      <c r="I472" s="1" t="s">
        <v>21</v>
      </c>
      <c r="J472" s="1" t="s">
        <v>3519</v>
      </c>
      <c r="K472" s="2">
        <v>-68.84000449999999</v>
      </c>
      <c r="L472" s="2">
        <v>-32.890499</v>
      </c>
    </row>
    <row r="473">
      <c r="A473" s="1">
        <v>306.0</v>
      </c>
      <c r="B473" s="1" t="s">
        <v>51</v>
      </c>
      <c r="C473" s="1" t="s">
        <v>1103</v>
      </c>
      <c r="D473" s="1" t="s">
        <v>1103</v>
      </c>
      <c r="E473" s="1" t="s">
        <v>1104</v>
      </c>
      <c r="F473" s="1" t="s">
        <v>3501</v>
      </c>
      <c r="G473" s="1" t="s">
        <v>3520</v>
      </c>
      <c r="H473" s="1" t="s">
        <v>1103</v>
      </c>
      <c r="I473" s="1" t="s">
        <v>21</v>
      </c>
      <c r="J473" s="1" t="s">
        <v>3521</v>
      </c>
      <c r="K473" s="2">
        <v>-68.84000449999999</v>
      </c>
      <c r="L473" s="2">
        <v>-32.890499</v>
      </c>
    </row>
    <row r="474">
      <c r="A474" s="1">
        <v>318.0</v>
      </c>
      <c r="B474" s="1" t="s">
        <v>51</v>
      </c>
      <c r="C474" s="1" t="s">
        <v>1103</v>
      </c>
      <c r="D474" s="1" t="s">
        <v>1103</v>
      </c>
      <c r="E474" s="1" t="s">
        <v>1104</v>
      </c>
      <c r="F474" s="1" t="s">
        <v>3501</v>
      </c>
      <c r="G474" s="1" t="s">
        <v>3522</v>
      </c>
      <c r="H474" s="1" t="s">
        <v>1103</v>
      </c>
      <c r="I474" s="1" t="s">
        <v>21</v>
      </c>
      <c r="J474" s="1" t="s">
        <v>3523</v>
      </c>
      <c r="K474" s="2">
        <v>-68.84000449999999</v>
      </c>
      <c r="L474" s="2">
        <v>-32.890499</v>
      </c>
    </row>
    <row r="475">
      <c r="A475" s="1">
        <v>369.0</v>
      </c>
      <c r="B475" s="1" t="s">
        <v>24</v>
      </c>
      <c r="C475" s="1">
        <v>13.0</v>
      </c>
      <c r="D475" s="1" t="s">
        <v>3527</v>
      </c>
      <c r="E475" s="1" t="s">
        <v>1104</v>
      </c>
      <c r="F475" s="1" t="s">
        <v>3501</v>
      </c>
      <c r="G475" s="1" t="s">
        <v>3529</v>
      </c>
      <c r="H475" s="1" t="s">
        <v>2358</v>
      </c>
      <c r="I475" s="1" t="s">
        <v>21</v>
      </c>
      <c r="J475" s="1" t="s">
        <v>3530</v>
      </c>
      <c r="K475" s="2">
        <v>-68.852571</v>
      </c>
      <c r="L475" s="2">
        <v>-32.892564</v>
      </c>
    </row>
    <row r="476">
      <c r="A476" s="1">
        <v>377.0</v>
      </c>
      <c r="B476" s="1" t="s">
        <v>24</v>
      </c>
      <c r="C476" s="1">
        <v>14.0</v>
      </c>
      <c r="D476" s="1" t="s">
        <v>3531</v>
      </c>
      <c r="E476" s="1" t="s">
        <v>1104</v>
      </c>
      <c r="F476" s="1" t="s">
        <v>3501</v>
      </c>
      <c r="G476" s="1" t="s">
        <v>484</v>
      </c>
      <c r="H476" s="1" t="s">
        <v>3532</v>
      </c>
      <c r="I476" s="1" t="s">
        <v>21</v>
      </c>
      <c r="J476" s="1" t="s">
        <v>488</v>
      </c>
      <c r="K476" s="2">
        <v>-68.8535603</v>
      </c>
      <c r="L476" s="2">
        <v>-32.8924279</v>
      </c>
    </row>
    <row r="477">
      <c r="A477" s="1">
        <v>414.0</v>
      </c>
      <c r="B477" s="1" t="s">
        <v>24</v>
      </c>
      <c r="C477" s="1">
        <v>1.0</v>
      </c>
      <c r="D477" s="1" t="s">
        <v>3534</v>
      </c>
      <c r="E477" s="1" t="s">
        <v>1104</v>
      </c>
      <c r="F477" s="1" t="s">
        <v>3501</v>
      </c>
      <c r="G477" s="1" t="s">
        <v>3536</v>
      </c>
      <c r="H477" s="1" t="s">
        <v>1434</v>
      </c>
      <c r="I477" s="1" t="s">
        <v>21</v>
      </c>
      <c r="J477" s="1" t="s">
        <v>3538</v>
      </c>
      <c r="K477">
        <v>-68.856626</v>
      </c>
      <c r="L477">
        <v>-32.892004</v>
      </c>
      <c r="N477" s="1" t="s">
        <v>3540</v>
      </c>
      <c r="O477">
        <f t="shared" ref="O477:O581" si="1">IFERROR(__xludf.DUMMYFUNCTION("SPLIT(N477,"";"")"),-32.892004)</f>
        <v>-32.892004</v>
      </c>
      <c r="P477">
        <f>IFERROR(__xludf.DUMMYFUNCTION("""COMPUTED_VALUE"""),-68.856626)</f>
        <v>-68.856626</v>
      </c>
      <c r="Q477" t="str">
        <f>IFERROR(__xludf.DUMMYFUNCTION("""COMPUTED_VALUE"""),"""Arístides Villanueva 627")</f>
        <v>"Arístides Villanueva 627</v>
      </c>
      <c r="R477" t="str">
        <f>IFERROR(__xludf.DUMMYFUNCTION("""COMPUTED_VALUE""")," Mendoza ")</f>
        <v> Mendoza </v>
      </c>
      <c r="S477" t="str">
        <f>IFERROR(__xludf.DUMMYFUNCTION("""COMPUTED_VALUE""")," Argentina""")</f>
        <v> Argentina"</v>
      </c>
      <c r="T477" t="str">
        <f>IFERROR(__xludf.DUMMYFUNCTION("""COMPUTED_VALUE"""),"""Arístides Villanueva")</f>
        <v>"Arístides Villanueva</v>
      </c>
      <c r="U477" t="str">
        <f>IFERROR(__xludf.DUMMYFUNCTION("""COMPUTED_VALUE""")," Ciudad de Mendoza")</f>
        <v> Ciudad de Mendoza</v>
      </c>
      <c r="V477" t="str">
        <f>IFERROR(__xludf.DUMMYFUNCTION("""COMPUTED_VALUE""")," Sección 5ª Residencial Sur")</f>
        <v> Sección 5ª Residencial Sur</v>
      </c>
      <c r="W477" t="str">
        <f>IFERROR(__xludf.DUMMYFUNCTION("""COMPUTED_VALUE""")," Mendoza")</f>
        <v> Mendoza</v>
      </c>
      <c r="X477" t="str">
        <f>IFERROR(__xludf.DUMMYFUNCTION("""COMPUTED_VALUE""")," AR""")</f>
        <v> AR"</v>
      </c>
    </row>
    <row r="478">
      <c r="A478" s="1">
        <v>440.0</v>
      </c>
      <c r="B478" s="1" t="s">
        <v>24</v>
      </c>
      <c r="C478" s="1">
        <v>2.0</v>
      </c>
      <c r="D478" s="1" t="s">
        <v>3552</v>
      </c>
      <c r="E478" s="1" t="s">
        <v>1104</v>
      </c>
      <c r="F478" s="1" t="s">
        <v>3501</v>
      </c>
      <c r="G478" s="1" t="s">
        <v>3554</v>
      </c>
      <c r="H478" s="1" t="s">
        <v>1457</v>
      </c>
      <c r="I478" s="1" t="s">
        <v>21</v>
      </c>
      <c r="J478" s="1" t="s">
        <v>3556</v>
      </c>
      <c r="K478">
        <v>-68.85706</v>
      </c>
      <c r="L478">
        <v>-32.892055</v>
      </c>
      <c r="N478" s="1" t="s">
        <v>3558</v>
      </c>
      <c r="O478">
        <f t="shared" si="1"/>
        <v>-32.892055</v>
      </c>
      <c r="P478">
        <f>IFERROR(__xludf.DUMMYFUNCTION("""COMPUTED_VALUE"""),-68.85706)</f>
        <v>-68.85706</v>
      </c>
      <c r="Q478" t="str">
        <f>IFERROR(__xludf.DUMMYFUNCTION("""COMPUTED_VALUE"""),"""Arístides Villanueva 430")</f>
        <v>"Arístides Villanueva 430</v>
      </c>
      <c r="R478" t="str">
        <f>IFERROR(__xludf.DUMMYFUNCTION("""COMPUTED_VALUE""")," Mendoza ")</f>
        <v> Mendoza </v>
      </c>
      <c r="S478" t="str">
        <f>IFERROR(__xludf.DUMMYFUNCTION("""COMPUTED_VALUE""")," Argentina""")</f>
        <v> Argentina"</v>
      </c>
      <c r="T478" t="str">
        <f>IFERROR(__xludf.DUMMYFUNCTION("""COMPUTED_VALUE"""),"""Arístides Villanueva 430")</f>
        <v>"Arístides Villanueva 430</v>
      </c>
      <c r="U478" t="str">
        <f>IFERROR(__xludf.DUMMYFUNCTION("""COMPUTED_VALUE""")," Ciudad de Mendoza")</f>
        <v> Ciudad de Mendoza</v>
      </c>
      <c r="V478" t="str">
        <f>IFERROR(__xludf.DUMMYFUNCTION("""COMPUTED_VALUE""")," Sección 5ª Residencial Sur")</f>
        <v> Sección 5ª Residencial Sur</v>
      </c>
      <c r="W478" t="str">
        <f>IFERROR(__xludf.DUMMYFUNCTION("""COMPUTED_VALUE""")," Mendoza")</f>
        <v> Mendoza</v>
      </c>
      <c r="X478" t="str">
        <f>IFERROR(__xludf.DUMMYFUNCTION("""COMPUTED_VALUE""")," AR""")</f>
        <v> AR"</v>
      </c>
    </row>
    <row r="479">
      <c r="A479" s="1">
        <v>532.0</v>
      </c>
      <c r="B479" s="1" t="s">
        <v>109</v>
      </c>
      <c r="C479" s="1">
        <v>5.0</v>
      </c>
      <c r="D479" s="1">
        <v>0.0</v>
      </c>
      <c r="E479" s="1" t="s">
        <v>1104</v>
      </c>
      <c r="F479" s="1" t="s">
        <v>3501</v>
      </c>
      <c r="G479" s="1" t="s">
        <v>3565</v>
      </c>
      <c r="H479" s="1" t="s">
        <v>2402</v>
      </c>
      <c r="I479" s="1" t="s">
        <v>21</v>
      </c>
      <c r="J479" s="1" t="s">
        <v>3567</v>
      </c>
      <c r="K479">
        <v>-68.83804</v>
      </c>
      <c r="L479">
        <v>-32.885271</v>
      </c>
      <c r="N479" s="1" t="s">
        <v>3569</v>
      </c>
      <c r="O479">
        <f t="shared" si="1"/>
        <v>-32.885271</v>
      </c>
      <c r="P479">
        <f>IFERROR(__xludf.DUMMYFUNCTION("""COMPUTED_VALUE"""),-68.83804)</f>
        <v>-68.83804</v>
      </c>
      <c r="Q479" t="str">
        <f>IFERROR(__xludf.DUMMYFUNCTION("""COMPUTED_VALUE"""),"""Av, San Martín 1447")</f>
        <v>"Av, San Martín 1447</v>
      </c>
      <c r="R479" t="str">
        <f>IFERROR(__xludf.DUMMYFUNCTION("""COMPUTED_VALUE""")," Mendoza ")</f>
        <v> Mendoza </v>
      </c>
      <c r="S479" t="str">
        <f>IFERROR(__xludf.DUMMYFUNCTION("""COMPUTED_VALUE""")," Argentina""")</f>
        <v> Argentina"</v>
      </c>
      <c r="T479" t="str">
        <f>IFERROR(__xludf.DUMMYFUNCTION("""COMPUTED_VALUE"""),"""Avenida San Martín")</f>
        <v>"Avenida San Martín</v>
      </c>
      <c r="U479" t="str">
        <f>IFERROR(__xludf.DUMMYFUNCTION("""COMPUTED_VALUE""")," Ciudad de Mendoza")</f>
        <v> Ciudad de Mendoza</v>
      </c>
      <c r="V479" t="str">
        <f>IFERROR(__xludf.DUMMYFUNCTION("""COMPUTED_VALUE""")," Sección 3ª Parque O'Higgins")</f>
        <v> Sección 3ª Parque O'Higgins</v>
      </c>
      <c r="W479" t="str">
        <f>IFERROR(__xludf.DUMMYFUNCTION("""COMPUTED_VALUE""")," Mendoza")</f>
        <v> Mendoza</v>
      </c>
      <c r="X479" t="str">
        <f>IFERROR(__xludf.DUMMYFUNCTION("""COMPUTED_VALUE""")," AR""")</f>
        <v> AR"</v>
      </c>
    </row>
    <row r="480">
      <c r="A480" s="1">
        <v>548.0</v>
      </c>
      <c r="B480" s="1" t="s">
        <v>109</v>
      </c>
      <c r="C480" s="1">
        <v>2.0</v>
      </c>
      <c r="D480" s="1" t="s">
        <v>700</v>
      </c>
      <c r="E480" s="1" t="s">
        <v>1104</v>
      </c>
      <c r="F480" s="1" t="s">
        <v>3501</v>
      </c>
      <c r="G480" s="1" t="s">
        <v>2861</v>
      </c>
      <c r="H480" s="1" t="s">
        <v>702</v>
      </c>
      <c r="I480" s="1" t="s">
        <v>21</v>
      </c>
      <c r="J480" s="1" t="s">
        <v>2863</v>
      </c>
      <c r="K480">
        <v>-68.83804</v>
      </c>
      <c r="L480">
        <v>-32.885271</v>
      </c>
      <c r="N480" s="1" t="s">
        <v>3576</v>
      </c>
      <c r="O480">
        <f t="shared" si="1"/>
        <v>-32.885271</v>
      </c>
      <c r="P480">
        <f>IFERROR(__xludf.DUMMYFUNCTION("""COMPUTED_VALUE"""),-68.83804)</f>
        <v>-68.83804</v>
      </c>
      <c r="Q480" t="str">
        <f>IFERROR(__xludf.DUMMYFUNCTION("""COMPUTED_VALUE"""),"""Av, San Martín 1567")</f>
        <v>"Av, San Martín 1567</v>
      </c>
      <c r="R480" t="str">
        <f>IFERROR(__xludf.DUMMYFUNCTION("""COMPUTED_VALUE""")," Mendoza ")</f>
        <v> Mendoza </v>
      </c>
      <c r="S480" t="str">
        <f>IFERROR(__xludf.DUMMYFUNCTION("""COMPUTED_VALUE""")," Argentina""")</f>
        <v> Argentina"</v>
      </c>
      <c r="T480" t="str">
        <f>IFERROR(__xludf.DUMMYFUNCTION("""COMPUTED_VALUE"""),"""Avenida San Martín")</f>
        <v>"Avenida San Martín</v>
      </c>
      <c r="U480" t="str">
        <f>IFERROR(__xludf.DUMMYFUNCTION("""COMPUTED_VALUE""")," Ciudad de Mendoza")</f>
        <v> Ciudad de Mendoza</v>
      </c>
      <c r="V480" t="str">
        <f>IFERROR(__xludf.DUMMYFUNCTION("""COMPUTED_VALUE""")," Sección 3ª Parque O'Higgins")</f>
        <v> Sección 3ª Parque O'Higgins</v>
      </c>
      <c r="W480" t="str">
        <f>IFERROR(__xludf.DUMMYFUNCTION("""COMPUTED_VALUE""")," Mendoza")</f>
        <v> Mendoza</v>
      </c>
      <c r="X480" t="str">
        <f>IFERROR(__xludf.DUMMYFUNCTION("""COMPUTED_VALUE""")," AR""")</f>
        <v> AR"</v>
      </c>
    </row>
    <row r="481">
      <c r="A481" s="1">
        <v>581.0</v>
      </c>
      <c r="B481" s="1" t="s">
        <v>109</v>
      </c>
      <c r="C481" s="1">
        <v>0.0</v>
      </c>
      <c r="D481" s="1">
        <v>0.0</v>
      </c>
      <c r="E481" s="1" t="s">
        <v>1104</v>
      </c>
      <c r="F481" s="1" t="s">
        <v>3501</v>
      </c>
      <c r="G481" s="1" t="s">
        <v>3582</v>
      </c>
      <c r="H481" s="1">
        <v>0.0</v>
      </c>
      <c r="I481" s="1" t="s">
        <v>21</v>
      </c>
      <c r="J481" s="1" t="s">
        <v>3584</v>
      </c>
      <c r="K481">
        <v>-68.838398</v>
      </c>
      <c r="L481">
        <v>-32.886147</v>
      </c>
      <c r="N481" s="1" t="s">
        <v>3586</v>
      </c>
      <c r="O481">
        <f t="shared" si="1"/>
        <v>-32.886147</v>
      </c>
      <c r="P481">
        <f>IFERROR(__xludf.DUMMYFUNCTION("""COMPUTED_VALUE"""),-68.838398)</f>
        <v>-68.838398</v>
      </c>
      <c r="Q481" t="str">
        <f>IFERROR(__xludf.DUMMYFUNCTION("""COMPUTED_VALUE"""),"""Av, San Martín 1528")</f>
        <v>"Av, San Martín 1528</v>
      </c>
      <c r="R481" t="str">
        <f>IFERROR(__xludf.DUMMYFUNCTION("""COMPUTED_VALUE""")," Mendoza ")</f>
        <v> Mendoza </v>
      </c>
      <c r="S481" t="str">
        <f>IFERROR(__xludf.DUMMYFUNCTION("""COMPUTED_VALUE""")," Argentina""")</f>
        <v> Argentina"</v>
      </c>
      <c r="T481" t="str">
        <f>IFERROR(__xludf.DUMMYFUNCTION("""COMPUTED_VALUE"""),"""Avenida San Martín 1528")</f>
        <v>"Avenida San Martín 1528</v>
      </c>
      <c r="U481" t="str">
        <f>IFERROR(__xludf.DUMMYFUNCTION("""COMPUTED_VALUE""")," Ciudad de Mendoza")</f>
        <v> Ciudad de Mendoza</v>
      </c>
      <c r="V481" t="str">
        <f>IFERROR(__xludf.DUMMYFUNCTION("""COMPUTED_VALUE""")," Sección 3ª Parque O'Higgins")</f>
        <v> Sección 3ª Parque O'Higgins</v>
      </c>
      <c r="W481" t="str">
        <f>IFERROR(__xludf.DUMMYFUNCTION("""COMPUTED_VALUE""")," Mendoza")</f>
        <v> Mendoza</v>
      </c>
      <c r="X481" t="str">
        <f>IFERROR(__xludf.DUMMYFUNCTION("""COMPUTED_VALUE""")," AR""")</f>
        <v> AR"</v>
      </c>
    </row>
    <row r="482">
      <c r="A482" s="1">
        <v>582.0</v>
      </c>
      <c r="B482" s="1" t="s">
        <v>109</v>
      </c>
      <c r="C482" s="1">
        <v>3.0</v>
      </c>
      <c r="D482" s="1" t="s">
        <v>3593</v>
      </c>
      <c r="E482" s="1" t="s">
        <v>1104</v>
      </c>
      <c r="F482" s="1" t="s">
        <v>3501</v>
      </c>
      <c r="G482" s="1" t="s">
        <v>3594</v>
      </c>
      <c r="H482" s="1" t="s">
        <v>3595</v>
      </c>
      <c r="I482" s="1" t="s">
        <v>21</v>
      </c>
      <c r="J482" s="1" t="s">
        <v>3596</v>
      </c>
      <c r="K482">
        <v>-68.838313</v>
      </c>
      <c r="L482">
        <v>-32.886067</v>
      </c>
      <c r="N482" s="1" t="s">
        <v>3597</v>
      </c>
      <c r="O482">
        <f t="shared" si="1"/>
        <v>-32.886067</v>
      </c>
      <c r="P482">
        <f>IFERROR(__xludf.DUMMYFUNCTION("""COMPUTED_VALUE"""),-68.838313)</f>
        <v>-68.838313</v>
      </c>
      <c r="Q482" t="str">
        <f>IFERROR(__xludf.DUMMYFUNCTION("""COMPUTED_VALUE"""),"""Av, San Martín 1526")</f>
        <v>"Av, San Martín 1526</v>
      </c>
      <c r="R482" t="str">
        <f>IFERROR(__xludf.DUMMYFUNCTION("""COMPUTED_VALUE""")," Mendoza ")</f>
        <v> Mendoza </v>
      </c>
      <c r="S482" t="str">
        <f>IFERROR(__xludf.DUMMYFUNCTION("""COMPUTED_VALUE""")," Argentina""")</f>
        <v> Argentina"</v>
      </c>
      <c r="T482" t="str">
        <f>IFERROR(__xludf.DUMMYFUNCTION("""COMPUTED_VALUE"""),"""Avenida San Martín 1526")</f>
        <v>"Avenida San Martín 1526</v>
      </c>
      <c r="U482" t="str">
        <f>IFERROR(__xludf.DUMMYFUNCTION("""COMPUTED_VALUE""")," Ciudad de Mendoza")</f>
        <v> Ciudad de Mendoza</v>
      </c>
      <c r="V482" t="str">
        <f>IFERROR(__xludf.DUMMYFUNCTION("""COMPUTED_VALUE""")," Sección 3ª Parque O'Higgins")</f>
        <v> Sección 3ª Parque O'Higgins</v>
      </c>
      <c r="W482" t="str">
        <f>IFERROR(__xludf.DUMMYFUNCTION("""COMPUTED_VALUE""")," Mendoza")</f>
        <v> Mendoza</v>
      </c>
      <c r="X482" t="str">
        <f>IFERROR(__xludf.DUMMYFUNCTION("""COMPUTED_VALUE""")," AR""")</f>
        <v> AR"</v>
      </c>
    </row>
    <row r="483">
      <c r="A483" s="1">
        <v>589.0</v>
      </c>
      <c r="B483" s="1" t="s">
        <v>109</v>
      </c>
      <c r="C483" s="1">
        <v>10.0</v>
      </c>
      <c r="D483" s="1">
        <v>0.0</v>
      </c>
      <c r="E483" s="1" t="s">
        <v>1104</v>
      </c>
      <c r="F483" s="1" t="s">
        <v>3501</v>
      </c>
      <c r="G483" s="1" t="s">
        <v>3613</v>
      </c>
      <c r="H483" s="1" t="s">
        <v>1683</v>
      </c>
      <c r="I483" s="1" t="s">
        <v>21</v>
      </c>
      <c r="J483" s="1" t="s">
        <v>3615</v>
      </c>
      <c r="K483">
        <v>-68.838646</v>
      </c>
      <c r="L483">
        <v>-32.887381</v>
      </c>
      <c r="N483" s="1" t="s">
        <v>3616</v>
      </c>
      <c r="O483">
        <f t="shared" si="1"/>
        <v>-32.887381</v>
      </c>
      <c r="P483">
        <f>IFERROR(__xludf.DUMMYFUNCTION("""COMPUTED_VALUE"""),-68.838646)</f>
        <v>-68.838646</v>
      </c>
      <c r="Q483" t="str">
        <f>IFERROR(__xludf.DUMMYFUNCTION("""COMPUTED_VALUE"""),"""Av, San Martín 1402")</f>
        <v>"Av, San Martín 1402</v>
      </c>
      <c r="R483" t="str">
        <f>IFERROR(__xludf.DUMMYFUNCTION("""COMPUTED_VALUE""")," Mendoza ")</f>
        <v> Mendoza </v>
      </c>
      <c r="S483" t="str">
        <f>IFERROR(__xludf.DUMMYFUNCTION("""COMPUTED_VALUE""")," Argentina""")</f>
        <v> Argentina"</v>
      </c>
      <c r="T483" t="str">
        <f>IFERROR(__xludf.DUMMYFUNCTION("""COMPUTED_VALUE"""),"""Avenida San Martín 1402")</f>
        <v>"Avenida San Martín 1402</v>
      </c>
      <c r="U483" t="str">
        <f>IFERROR(__xludf.DUMMYFUNCTION("""COMPUTED_VALUE""")," Ciudad de Mendoza")</f>
        <v> Ciudad de Mendoza</v>
      </c>
      <c r="V483" t="str">
        <f>IFERROR(__xludf.DUMMYFUNCTION("""COMPUTED_VALUE""")," Sección 3ª Parque O'Higgins")</f>
        <v> Sección 3ª Parque O'Higgins</v>
      </c>
      <c r="W483" t="str">
        <f>IFERROR(__xludf.DUMMYFUNCTION("""COMPUTED_VALUE""")," Mendoza")</f>
        <v> Mendoza</v>
      </c>
      <c r="X483" t="str">
        <f>IFERROR(__xludf.DUMMYFUNCTION("""COMPUTED_VALUE""")," AR""")</f>
        <v> AR"</v>
      </c>
    </row>
    <row r="484">
      <c r="A484" s="1">
        <v>599.0</v>
      </c>
      <c r="B484" s="1" t="s">
        <v>109</v>
      </c>
      <c r="C484" s="1">
        <v>12.0</v>
      </c>
      <c r="D484" s="1" t="s">
        <v>3624</v>
      </c>
      <c r="E484" s="1" t="s">
        <v>1104</v>
      </c>
      <c r="F484" s="1" t="s">
        <v>3501</v>
      </c>
      <c r="G484" s="1" t="s">
        <v>3625</v>
      </c>
      <c r="H484" s="1" t="s">
        <v>3626</v>
      </c>
      <c r="I484" s="1" t="s">
        <v>21</v>
      </c>
      <c r="J484" s="1" t="s">
        <v>3627</v>
      </c>
      <c r="K484">
        <v>-68.838478</v>
      </c>
      <c r="L484">
        <v>-32.886751</v>
      </c>
      <c r="N484" s="1" t="s">
        <v>3629</v>
      </c>
      <c r="O484">
        <f t="shared" si="1"/>
        <v>-32.886751</v>
      </c>
      <c r="P484">
        <f>IFERROR(__xludf.DUMMYFUNCTION("""COMPUTED_VALUE"""),-68.838478)</f>
        <v>-68.838478</v>
      </c>
      <c r="Q484" t="str">
        <f>IFERROR(__xludf.DUMMYFUNCTION("""COMPUTED_VALUE"""),"""Av, San Martín 1468")</f>
        <v>"Av, San Martín 1468</v>
      </c>
      <c r="R484" t="str">
        <f>IFERROR(__xludf.DUMMYFUNCTION("""COMPUTED_VALUE""")," Mendoza ")</f>
        <v> Mendoza </v>
      </c>
      <c r="S484" t="str">
        <f>IFERROR(__xludf.DUMMYFUNCTION("""COMPUTED_VALUE""")," Argentina""")</f>
        <v> Argentina"</v>
      </c>
      <c r="T484" t="str">
        <f>IFERROR(__xludf.DUMMYFUNCTION("""COMPUTED_VALUE"""),"""Avenida San Martín 1468")</f>
        <v>"Avenida San Martín 1468</v>
      </c>
      <c r="U484" t="str">
        <f>IFERROR(__xludf.DUMMYFUNCTION("""COMPUTED_VALUE""")," Ciudad de Mendoza")</f>
        <v> Ciudad de Mendoza</v>
      </c>
      <c r="V484" t="str">
        <f>IFERROR(__xludf.DUMMYFUNCTION("""COMPUTED_VALUE""")," Sección 3ª Parque O'Higgins")</f>
        <v> Sección 3ª Parque O'Higgins</v>
      </c>
      <c r="W484" t="str">
        <f>IFERROR(__xludf.DUMMYFUNCTION("""COMPUTED_VALUE""")," Mendoza")</f>
        <v> Mendoza</v>
      </c>
      <c r="X484" t="str">
        <f>IFERROR(__xludf.DUMMYFUNCTION("""COMPUTED_VALUE""")," AR""")</f>
        <v> AR"</v>
      </c>
    </row>
    <row r="485">
      <c r="A485" s="1">
        <v>607.0</v>
      </c>
      <c r="B485" s="1" t="s">
        <v>109</v>
      </c>
      <c r="C485" s="1">
        <v>1.0</v>
      </c>
      <c r="D485" s="1" t="s">
        <v>3641</v>
      </c>
      <c r="E485" s="1" t="s">
        <v>1104</v>
      </c>
      <c r="F485" s="1" t="s">
        <v>3501</v>
      </c>
      <c r="G485" s="1" t="s">
        <v>3582</v>
      </c>
      <c r="H485" s="1" t="s">
        <v>1689</v>
      </c>
      <c r="I485" s="1" t="s">
        <v>21</v>
      </c>
      <c r="J485" s="1" t="s">
        <v>3584</v>
      </c>
      <c r="K485">
        <v>-68.838398</v>
      </c>
      <c r="L485">
        <v>-32.886147</v>
      </c>
      <c r="N485" s="1" t="s">
        <v>3586</v>
      </c>
      <c r="O485">
        <f t="shared" si="1"/>
        <v>-32.886147</v>
      </c>
      <c r="P485">
        <f>IFERROR(__xludf.DUMMYFUNCTION("""COMPUTED_VALUE"""),-68.838398)</f>
        <v>-68.838398</v>
      </c>
      <c r="Q485" t="str">
        <f>IFERROR(__xludf.DUMMYFUNCTION("""COMPUTED_VALUE"""),"""Av, San Martín 1528")</f>
        <v>"Av, San Martín 1528</v>
      </c>
      <c r="R485" t="str">
        <f>IFERROR(__xludf.DUMMYFUNCTION("""COMPUTED_VALUE""")," Mendoza ")</f>
        <v> Mendoza </v>
      </c>
      <c r="S485" t="str">
        <f>IFERROR(__xludf.DUMMYFUNCTION("""COMPUTED_VALUE""")," Argentina""")</f>
        <v> Argentina"</v>
      </c>
      <c r="T485" t="str">
        <f>IFERROR(__xludf.DUMMYFUNCTION("""COMPUTED_VALUE"""),"""Avenida San Martín 1528")</f>
        <v>"Avenida San Martín 1528</v>
      </c>
      <c r="U485" t="str">
        <f>IFERROR(__xludf.DUMMYFUNCTION("""COMPUTED_VALUE""")," Ciudad de Mendoza")</f>
        <v> Ciudad de Mendoza</v>
      </c>
      <c r="V485" t="str">
        <f>IFERROR(__xludf.DUMMYFUNCTION("""COMPUTED_VALUE""")," Sección 3ª Parque O'Higgins")</f>
        <v> Sección 3ª Parque O'Higgins</v>
      </c>
      <c r="W485" t="str">
        <f>IFERROR(__xludf.DUMMYFUNCTION("""COMPUTED_VALUE""")," Mendoza")</f>
        <v> Mendoza</v>
      </c>
      <c r="X485" t="str">
        <f>IFERROR(__xludf.DUMMYFUNCTION("""COMPUTED_VALUE""")," AR""")</f>
        <v> AR"</v>
      </c>
    </row>
    <row r="486">
      <c r="A486" s="1">
        <v>611.0</v>
      </c>
      <c r="B486" s="1" t="s">
        <v>109</v>
      </c>
      <c r="C486" s="1">
        <v>7.0</v>
      </c>
      <c r="D486" s="1">
        <v>0.0</v>
      </c>
      <c r="E486" s="1" t="s">
        <v>1104</v>
      </c>
      <c r="F486" s="1" t="s">
        <v>3501</v>
      </c>
      <c r="G486" s="1" t="s">
        <v>3650</v>
      </c>
      <c r="H486" s="1" t="s">
        <v>933</v>
      </c>
      <c r="I486" s="1" t="s">
        <v>21</v>
      </c>
      <c r="J486" s="1" t="s">
        <v>3651</v>
      </c>
      <c r="K486">
        <v>-68.839133</v>
      </c>
      <c r="L486">
        <v>-32.889312</v>
      </c>
      <c r="N486" s="1" t="s">
        <v>3652</v>
      </c>
      <c r="O486">
        <f t="shared" si="1"/>
        <v>-32.889312</v>
      </c>
      <c r="P486">
        <f>IFERROR(__xludf.DUMMYFUNCTION("""COMPUTED_VALUE"""),-68.839133)</f>
        <v>-68.839133</v>
      </c>
      <c r="Q486" t="str">
        <f>IFERROR(__xludf.DUMMYFUNCTION("""COMPUTED_VALUE"""),"""Av, San Martín 1224")</f>
        <v>"Av, San Martín 1224</v>
      </c>
      <c r="R486" t="str">
        <f>IFERROR(__xludf.DUMMYFUNCTION("""COMPUTED_VALUE""")," Mendoza ")</f>
        <v> Mendoza </v>
      </c>
      <c r="S486" t="str">
        <f>IFERROR(__xludf.DUMMYFUNCTION("""COMPUTED_VALUE""")," Argentina""")</f>
        <v> Argentina"</v>
      </c>
      <c r="T486" t="str">
        <f>IFERROR(__xludf.DUMMYFUNCTION("""COMPUTED_VALUE"""),"""Avenida San Martín 1224")</f>
        <v>"Avenida San Martín 1224</v>
      </c>
      <c r="U486" t="str">
        <f>IFERROR(__xludf.DUMMYFUNCTION("""COMPUTED_VALUE""")," Ciudad de Mendoza")</f>
        <v> Ciudad de Mendoza</v>
      </c>
      <c r="V486" t="str">
        <f>IFERROR(__xludf.DUMMYFUNCTION("""COMPUTED_VALUE""")," Sección 3ª Parque O'Higgins")</f>
        <v> Sección 3ª Parque O'Higgins</v>
      </c>
      <c r="W486" t="str">
        <f>IFERROR(__xludf.DUMMYFUNCTION("""COMPUTED_VALUE""")," Mendoza")</f>
        <v> Mendoza</v>
      </c>
      <c r="X486" t="str">
        <f>IFERROR(__xludf.DUMMYFUNCTION("""COMPUTED_VALUE""")," AR""")</f>
        <v> AR"</v>
      </c>
    </row>
    <row r="487">
      <c r="A487" s="1">
        <v>616.0</v>
      </c>
      <c r="B487" s="1" t="s">
        <v>109</v>
      </c>
      <c r="C487" s="1">
        <v>9.0</v>
      </c>
      <c r="D487" s="1" t="s">
        <v>3657</v>
      </c>
      <c r="E487" s="1" t="s">
        <v>1104</v>
      </c>
      <c r="F487" s="1" t="s">
        <v>3501</v>
      </c>
      <c r="G487" s="1" t="s">
        <v>3658</v>
      </c>
      <c r="H487" s="1" t="s">
        <v>3659</v>
      </c>
      <c r="I487" s="1" t="s">
        <v>21</v>
      </c>
      <c r="J487" s="1" t="s">
        <v>3660</v>
      </c>
      <c r="K487">
        <v>-68.839014</v>
      </c>
      <c r="L487">
        <v>-32.888848</v>
      </c>
      <c r="N487" s="1" t="s">
        <v>3661</v>
      </c>
      <c r="O487">
        <f t="shared" si="1"/>
        <v>-32.888848</v>
      </c>
      <c r="P487">
        <f>IFERROR(__xludf.DUMMYFUNCTION("""COMPUTED_VALUE"""),-68.839014)</f>
        <v>-68.839014</v>
      </c>
      <c r="Q487" t="str">
        <f>IFERROR(__xludf.DUMMYFUNCTION("""COMPUTED_VALUE"""),"""Av, San Martín 1274")</f>
        <v>"Av, San Martín 1274</v>
      </c>
      <c r="R487" t="str">
        <f>IFERROR(__xludf.DUMMYFUNCTION("""COMPUTED_VALUE""")," Mendoza ")</f>
        <v> Mendoza </v>
      </c>
      <c r="S487" t="str">
        <f>IFERROR(__xludf.DUMMYFUNCTION("""COMPUTED_VALUE""")," Argentina""")</f>
        <v> Argentina"</v>
      </c>
      <c r="T487" t="str">
        <f>IFERROR(__xludf.DUMMYFUNCTION("""COMPUTED_VALUE"""),"""Avenida San Martín 1274")</f>
        <v>"Avenida San Martín 1274</v>
      </c>
      <c r="U487" t="str">
        <f>IFERROR(__xludf.DUMMYFUNCTION("""COMPUTED_VALUE""")," Ciudad de Mendoza")</f>
        <v> Ciudad de Mendoza</v>
      </c>
      <c r="V487" t="str">
        <f>IFERROR(__xludf.DUMMYFUNCTION("""COMPUTED_VALUE""")," Sección 3ª Parque O'Higgins")</f>
        <v> Sección 3ª Parque O'Higgins</v>
      </c>
      <c r="W487" t="str">
        <f>IFERROR(__xludf.DUMMYFUNCTION("""COMPUTED_VALUE""")," Mendoza")</f>
        <v> Mendoza</v>
      </c>
      <c r="X487" t="str">
        <f>IFERROR(__xludf.DUMMYFUNCTION("""COMPUTED_VALUE""")," AR""")</f>
        <v> AR"</v>
      </c>
    </row>
    <row r="488">
      <c r="A488" s="1">
        <v>647.0</v>
      </c>
      <c r="B488" s="1" t="s">
        <v>109</v>
      </c>
      <c r="C488" s="1">
        <v>5.0</v>
      </c>
      <c r="D488" s="1" t="s">
        <v>3668</v>
      </c>
      <c r="E488" s="1" t="s">
        <v>1104</v>
      </c>
      <c r="F488" s="1" t="s">
        <v>3501</v>
      </c>
      <c r="G488" s="1" t="s">
        <v>3671</v>
      </c>
      <c r="H488" s="1" t="s">
        <v>2387</v>
      </c>
      <c r="I488" s="1" t="s">
        <v>21</v>
      </c>
      <c r="J488" s="1" t="s">
        <v>3672</v>
      </c>
      <c r="K488">
        <v>-68.839979</v>
      </c>
      <c r="L488">
        <v>-32.89247</v>
      </c>
      <c r="N488" s="1" t="s">
        <v>3674</v>
      </c>
      <c r="O488">
        <f t="shared" si="1"/>
        <v>-32.89247</v>
      </c>
      <c r="P488">
        <f>IFERROR(__xludf.DUMMYFUNCTION("""COMPUTED_VALUE"""),-68.839979)</f>
        <v>-68.839979</v>
      </c>
      <c r="Q488" t="str">
        <f>IFERROR(__xludf.DUMMYFUNCTION("""COMPUTED_VALUE"""),"""Av, San Martín 928")</f>
        <v>"Av, San Martín 928</v>
      </c>
      <c r="R488" t="str">
        <f>IFERROR(__xludf.DUMMYFUNCTION("""COMPUTED_VALUE""")," Mendoza ")</f>
        <v> Mendoza </v>
      </c>
      <c r="S488" t="str">
        <f>IFERROR(__xludf.DUMMYFUNCTION("""COMPUTED_VALUE""")," Argentina""")</f>
        <v> Argentina"</v>
      </c>
      <c r="T488" t="str">
        <f>IFERROR(__xludf.DUMMYFUNCTION("""COMPUTED_VALUE"""),"""Avenida San Martín 928")</f>
        <v>"Avenida San Martín 928</v>
      </c>
      <c r="U488" t="str">
        <f>IFERROR(__xludf.DUMMYFUNCTION("""COMPUTED_VALUE""")," Mendoza")</f>
        <v> Mendoza</v>
      </c>
      <c r="V488" t="str">
        <f>IFERROR(__xludf.DUMMYFUNCTION("""COMPUTED_VALUE""")," Sección 2ª Barrio Cívico")</f>
        <v> Sección 2ª Barrio Cívico</v>
      </c>
      <c r="W488" t="str">
        <f>IFERROR(__xludf.DUMMYFUNCTION("""COMPUTED_VALUE""")," Mendoza")</f>
        <v> Mendoza</v>
      </c>
      <c r="X488" t="str">
        <f>IFERROR(__xludf.DUMMYFUNCTION("""COMPUTED_VALUE""")," AR""")</f>
        <v> AR"</v>
      </c>
    </row>
    <row r="489">
      <c r="A489" s="1">
        <v>661.0</v>
      </c>
      <c r="B489" s="1" t="s">
        <v>36</v>
      </c>
      <c r="C489" s="1">
        <v>11.0</v>
      </c>
      <c r="D489" s="1" t="s">
        <v>746</v>
      </c>
      <c r="E489" s="1" t="s">
        <v>1104</v>
      </c>
      <c r="F489" s="1" t="s">
        <v>3501</v>
      </c>
      <c r="G489" s="1" t="s">
        <v>3690</v>
      </c>
      <c r="H489" s="1" t="s">
        <v>748</v>
      </c>
      <c r="I489" s="1" t="s">
        <v>21</v>
      </c>
      <c r="J489" s="1" t="s">
        <v>3691</v>
      </c>
      <c r="K489">
        <v>-68.837251</v>
      </c>
      <c r="L489">
        <v>-32.882265</v>
      </c>
      <c r="N489" s="1" t="s">
        <v>3693</v>
      </c>
      <c r="O489">
        <f t="shared" si="1"/>
        <v>-32.882265</v>
      </c>
      <c r="P489">
        <f>IFERROR(__xludf.DUMMYFUNCTION("""COMPUTED_VALUE"""),-68.837251)</f>
        <v>-68.837251</v>
      </c>
      <c r="Q489" t="str">
        <f>IFERROR(__xludf.DUMMYFUNCTION("""COMPUTED_VALUE"""),"""Av, San Martín 1623")</f>
        <v>"Av, San Martín 1623</v>
      </c>
      <c r="R489" t="str">
        <f>IFERROR(__xludf.DUMMYFUNCTION("""COMPUTED_VALUE""")," Mendoza ")</f>
        <v> Mendoza </v>
      </c>
      <c r="S489" t="str">
        <f>IFERROR(__xludf.DUMMYFUNCTION("""COMPUTED_VALUE""")," Argentina""")</f>
        <v> Argentina"</v>
      </c>
      <c r="T489" t="str">
        <f>IFERROR(__xludf.DUMMYFUNCTION("""COMPUTED_VALUE"""),"""Avenida San Martín")</f>
        <v>"Avenida San Martín</v>
      </c>
      <c r="U489" t="str">
        <f>IFERROR(__xludf.DUMMYFUNCTION("""COMPUTED_VALUE""")," Ciudad de Mendoza")</f>
        <v> Ciudad de Mendoza</v>
      </c>
      <c r="V489" t="str">
        <f>IFERROR(__xludf.DUMMYFUNCTION("""COMPUTED_VALUE""")," Sección 1ª Parque Central")</f>
        <v> Sección 1ª Parque Central</v>
      </c>
      <c r="W489" t="str">
        <f>IFERROR(__xludf.DUMMYFUNCTION("""COMPUTED_VALUE""")," Mendoza")</f>
        <v> Mendoza</v>
      </c>
      <c r="X489" t="str">
        <f>IFERROR(__xludf.DUMMYFUNCTION("""COMPUTED_VALUE""")," AR""")</f>
        <v> AR"</v>
      </c>
    </row>
    <row r="490">
      <c r="A490" s="1">
        <v>664.0</v>
      </c>
      <c r="B490" s="1" t="s">
        <v>36</v>
      </c>
      <c r="C490" s="1">
        <v>14.0</v>
      </c>
      <c r="D490" s="1" t="s">
        <v>3705</v>
      </c>
      <c r="E490" s="1" t="s">
        <v>1104</v>
      </c>
      <c r="F490" s="1" t="s">
        <v>3501</v>
      </c>
      <c r="G490" s="1" t="s">
        <v>3706</v>
      </c>
      <c r="H490" s="1" t="s">
        <v>3707</v>
      </c>
      <c r="I490" s="1" t="s">
        <v>21</v>
      </c>
      <c r="J490" s="1" t="s">
        <v>3709</v>
      </c>
      <c r="K490">
        <v>-68.837251</v>
      </c>
      <c r="L490">
        <v>-32.882265</v>
      </c>
      <c r="N490" s="1" t="s">
        <v>3711</v>
      </c>
      <c r="O490">
        <f t="shared" si="1"/>
        <v>-32.882265</v>
      </c>
      <c r="P490">
        <f>IFERROR(__xludf.DUMMYFUNCTION("""COMPUTED_VALUE"""),-68.837251)</f>
        <v>-68.837251</v>
      </c>
      <c r="Q490" t="str">
        <f>IFERROR(__xludf.DUMMYFUNCTION("""COMPUTED_VALUE"""),"""Av, San Martín 1665")</f>
        <v>"Av, San Martín 1665</v>
      </c>
      <c r="R490" t="str">
        <f>IFERROR(__xludf.DUMMYFUNCTION("""COMPUTED_VALUE""")," Mendoza ")</f>
        <v> Mendoza </v>
      </c>
      <c r="S490" t="str">
        <f>IFERROR(__xludf.DUMMYFUNCTION("""COMPUTED_VALUE""")," Argentina""")</f>
        <v> Argentina"</v>
      </c>
      <c r="T490" t="str">
        <f>IFERROR(__xludf.DUMMYFUNCTION("""COMPUTED_VALUE"""),"""Avenida San Martín")</f>
        <v>"Avenida San Martín</v>
      </c>
      <c r="U490" t="str">
        <f>IFERROR(__xludf.DUMMYFUNCTION("""COMPUTED_VALUE""")," Ciudad de Mendoza")</f>
        <v> Ciudad de Mendoza</v>
      </c>
      <c r="V490" t="str">
        <f>IFERROR(__xludf.DUMMYFUNCTION("""COMPUTED_VALUE""")," Sección 1ª Parque Central")</f>
        <v> Sección 1ª Parque Central</v>
      </c>
      <c r="W490" t="str">
        <f>IFERROR(__xludf.DUMMYFUNCTION("""COMPUTED_VALUE""")," Mendoza")</f>
        <v> Mendoza</v>
      </c>
      <c r="X490" t="str">
        <f>IFERROR(__xludf.DUMMYFUNCTION("""COMPUTED_VALUE""")," AR""")</f>
        <v> AR"</v>
      </c>
    </row>
    <row r="491">
      <c r="A491" s="1">
        <v>802.0</v>
      </c>
      <c r="B491" s="1" t="s">
        <v>55</v>
      </c>
      <c r="C491" s="1">
        <v>8.0</v>
      </c>
      <c r="D491" s="1" t="s">
        <v>3727</v>
      </c>
      <c r="E491" s="1" t="s">
        <v>1104</v>
      </c>
      <c r="F491" s="1" t="s">
        <v>3501</v>
      </c>
      <c r="G491" s="1" t="s">
        <v>2001</v>
      </c>
      <c r="H491" s="3" t="s">
        <v>3731</v>
      </c>
      <c r="I491" s="1" t="s">
        <v>21</v>
      </c>
      <c r="J491" s="1" t="s">
        <v>3733</v>
      </c>
      <c r="K491">
        <v>-68.839996</v>
      </c>
      <c r="L491">
        <v>-32.886028</v>
      </c>
      <c r="N491" s="1" t="s">
        <v>3734</v>
      </c>
      <c r="O491">
        <f t="shared" si="1"/>
        <v>-32.886028</v>
      </c>
      <c r="P491">
        <f>IFERROR(__xludf.DUMMYFUNCTION("""COMPUTED_VALUE"""),-68.839996)</f>
        <v>-68.839996</v>
      </c>
      <c r="Q491" t="str">
        <f>IFERROR(__xludf.DUMMYFUNCTION("""COMPUTED_VALUE"""),"""Av, Las Heras 129")</f>
        <v>"Av, Las Heras 129</v>
      </c>
      <c r="R491" t="str">
        <f>IFERROR(__xludf.DUMMYFUNCTION("""COMPUTED_VALUE""")," Mendoza ")</f>
        <v> Mendoza </v>
      </c>
      <c r="S491" t="str">
        <f>IFERROR(__xludf.DUMMYFUNCTION("""COMPUTED_VALUE""")," Argentina""")</f>
        <v> Argentina"</v>
      </c>
      <c r="T491" t="str">
        <f>IFERROR(__xludf.DUMMYFUNCTION("""COMPUTED_VALUE"""),"""Avenida Las Heras 129")</f>
        <v>"Avenida Las Heras 129</v>
      </c>
      <c r="U491" t="str">
        <f>IFERROR(__xludf.DUMMYFUNCTION("""COMPUTED_VALUE""")," Ciudad de Mendoza")</f>
        <v> Ciudad de Mendoza</v>
      </c>
      <c r="V491" t="str">
        <f>IFERROR(__xludf.DUMMYFUNCTION("""COMPUTED_VALUE""")," Sección 1ª Parque Central")</f>
        <v> Sección 1ª Parque Central</v>
      </c>
      <c r="W491" t="str">
        <f>IFERROR(__xludf.DUMMYFUNCTION("""COMPUTED_VALUE""")," Mendoza")</f>
        <v> Mendoza</v>
      </c>
      <c r="X491" t="str">
        <f>IFERROR(__xludf.DUMMYFUNCTION("""COMPUTED_VALUE""")," AR""")</f>
        <v> AR"</v>
      </c>
    </row>
    <row r="492">
      <c r="A492" s="1">
        <v>857.0</v>
      </c>
      <c r="B492" s="1" t="s">
        <v>55</v>
      </c>
      <c r="C492" s="1">
        <v>11.0</v>
      </c>
      <c r="D492" s="1" t="s">
        <v>3747</v>
      </c>
      <c r="E492" s="1" t="s">
        <v>1104</v>
      </c>
      <c r="F492" s="1" t="s">
        <v>3501</v>
      </c>
      <c r="G492" s="1" t="s">
        <v>3748</v>
      </c>
      <c r="H492" s="3" t="s">
        <v>3749</v>
      </c>
      <c r="I492" s="1" t="s">
        <v>21</v>
      </c>
      <c r="J492" s="1" t="s">
        <v>3751</v>
      </c>
      <c r="K492">
        <v>-68.844661</v>
      </c>
      <c r="L492">
        <v>-32.885196</v>
      </c>
      <c r="N492" s="1" t="s">
        <v>3753</v>
      </c>
      <c r="O492">
        <f t="shared" si="1"/>
        <v>-32.885196</v>
      </c>
      <c r="P492">
        <f>IFERROR(__xludf.DUMMYFUNCTION("""COMPUTED_VALUE"""),-68.844661)</f>
        <v>-68.844661</v>
      </c>
      <c r="Q492" t="str">
        <f>IFERROR(__xludf.DUMMYFUNCTION("""COMPUTED_VALUE"""),"""Av, Las Heras 529")</f>
        <v>"Av, Las Heras 529</v>
      </c>
      <c r="R492" t="str">
        <f>IFERROR(__xludf.DUMMYFUNCTION("""COMPUTED_VALUE""")," Mendoza ")</f>
        <v> Mendoza </v>
      </c>
      <c r="S492" t="str">
        <f>IFERROR(__xludf.DUMMYFUNCTION("""COMPUTED_VALUE""")," Argentina""")</f>
        <v> Argentina"</v>
      </c>
      <c r="T492" t="str">
        <f>IFERROR(__xludf.DUMMYFUNCTION("""COMPUTED_VALUE"""),"""Avenida Las Heras")</f>
        <v>"Avenida Las Heras</v>
      </c>
      <c r="U492" t="str">
        <f>IFERROR(__xludf.DUMMYFUNCTION("""COMPUTED_VALUE""")," Ciudad de Mendoza")</f>
        <v> Ciudad de Mendoza</v>
      </c>
      <c r="V492" t="str">
        <f>IFERROR(__xludf.DUMMYFUNCTION("""COMPUTED_VALUE""")," Sección 1ª Parque Central")</f>
        <v> Sección 1ª Parque Central</v>
      </c>
      <c r="W492" t="str">
        <f>IFERROR(__xludf.DUMMYFUNCTION("""COMPUTED_VALUE""")," Mendoza")</f>
        <v> Mendoza</v>
      </c>
      <c r="X492" t="str">
        <f>IFERROR(__xludf.DUMMYFUNCTION("""COMPUTED_VALUE""")," AR""")</f>
        <v> AR"</v>
      </c>
    </row>
    <row r="493">
      <c r="A493" s="1">
        <v>858.0</v>
      </c>
      <c r="B493" s="1" t="s">
        <v>55</v>
      </c>
      <c r="C493" s="1">
        <v>11.0</v>
      </c>
      <c r="D493" s="1" t="s">
        <v>433</v>
      </c>
      <c r="E493" s="1" t="s">
        <v>1104</v>
      </c>
      <c r="F493" s="1" t="s">
        <v>3501</v>
      </c>
      <c r="G493" s="1" t="s">
        <v>3770</v>
      </c>
      <c r="H493" s="3" t="s">
        <v>435</v>
      </c>
      <c r="I493" s="1" t="s">
        <v>21</v>
      </c>
      <c r="J493" s="1" t="s">
        <v>3772</v>
      </c>
      <c r="K493">
        <v>-68.845662</v>
      </c>
      <c r="L493">
        <v>-32.884961</v>
      </c>
      <c r="N493" s="1" t="s">
        <v>3776</v>
      </c>
      <c r="O493">
        <f t="shared" si="1"/>
        <v>-32.884961</v>
      </c>
      <c r="P493">
        <f>IFERROR(__xludf.DUMMYFUNCTION("""COMPUTED_VALUE"""),-68.845662)</f>
        <v>-68.845662</v>
      </c>
      <c r="Q493" t="str">
        <f>IFERROR(__xludf.DUMMYFUNCTION("""COMPUTED_VALUE"""),"""Av, Las Heras 575")</f>
        <v>"Av, Las Heras 575</v>
      </c>
      <c r="R493" t="str">
        <f>IFERROR(__xludf.DUMMYFUNCTION("""COMPUTED_VALUE""")," Mendoza ")</f>
        <v> Mendoza </v>
      </c>
      <c r="S493" t="str">
        <f>IFERROR(__xludf.DUMMYFUNCTION("""COMPUTED_VALUE""")," Argentina""")</f>
        <v> Argentina"</v>
      </c>
      <c r="T493" t="str">
        <f>IFERROR(__xludf.DUMMYFUNCTION("""COMPUTED_VALUE"""),"""Avenida Las Heras 575")</f>
        <v>"Avenida Las Heras 575</v>
      </c>
      <c r="U493" t="str">
        <f>IFERROR(__xludf.DUMMYFUNCTION("""COMPUTED_VALUE""")," Ciudad de Mendoza")</f>
        <v> Ciudad de Mendoza</v>
      </c>
      <c r="V493" t="str">
        <f>IFERROR(__xludf.DUMMYFUNCTION("""COMPUTED_VALUE""")," Sección 1ª Parque Central")</f>
        <v> Sección 1ª Parque Central</v>
      </c>
      <c r="W493" t="str">
        <f>IFERROR(__xludf.DUMMYFUNCTION("""COMPUTED_VALUE""")," Mendoza")</f>
        <v> Mendoza</v>
      </c>
      <c r="X493" t="str">
        <f>IFERROR(__xludf.DUMMYFUNCTION("""COMPUTED_VALUE""")," AR""")</f>
        <v> AR"</v>
      </c>
    </row>
    <row r="494">
      <c r="A494" s="1">
        <v>869.0</v>
      </c>
      <c r="B494" s="1" t="s">
        <v>55</v>
      </c>
      <c r="C494" s="1">
        <v>11.0</v>
      </c>
      <c r="D494" s="1" t="s">
        <v>3787</v>
      </c>
      <c r="E494" s="1" t="s">
        <v>1104</v>
      </c>
      <c r="F494" s="1" t="s">
        <v>3501</v>
      </c>
      <c r="G494" s="1" t="s">
        <v>3788</v>
      </c>
      <c r="H494" s="3" t="s">
        <v>1342</v>
      </c>
      <c r="I494" s="1" t="s">
        <v>21</v>
      </c>
      <c r="J494" s="1" t="s">
        <v>3790</v>
      </c>
      <c r="K494">
        <v>-68.846171</v>
      </c>
      <c r="L494">
        <v>-32.88486</v>
      </c>
      <c r="N494" s="1" t="s">
        <v>3792</v>
      </c>
      <c r="O494">
        <f t="shared" si="1"/>
        <v>-32.88486</v>
      </c>
      <c r="P494">
        <f>IFERROR(__xludf.DUMMYFUNCTION("""COMPUTED_VALUE"""),-68.846171)</f>
        <v>-68.846171</v>
      </c>
      <c r="Q494" t="str">
        <f>IFERROR(__xludf.DUMMYFUNCTION("""COMPUTED_VALUE"""),"""Av, Las Heras 611")</f>
        <v>"Av, Las Heras 611</v>
      </c>
      <c r="R494" t="str">
        <f>IFERROR(__xludf.DUMMYFUNCTION("""COMPUTED_VALUE""")," Mendoza ")</f>
        <v> Mendoza </v>
      </c>
      <c r="S494" t="str">
        <f>IFERROR(__xludf.DUMMYFUNCTION("""COMPUTED_VALUE""")," Argentina""")</f>
        <v> Argentina"</v>
      </c>
      <c r="T494" t="str">
        <f>IFERROR(__xludf.DUMMYFUNCTION("""COMPUTED_VALUE"""),"""Avenida Las Heras 611")</f>
        <v>"Avenida Las Heras 611</v>
      </c>
      <c r="U494" t="str">
        <f>IFERROR(__xludf.DUMMYFUNCTION("""COMPUTED_VALUE""")," Ciudad de Mendoza")</f>
        <v> Ciudad de Mendoza</v>
      </c>
      <c r="V494" t="str">
        <f>IFERROR(__xludf.DUMMYFUNCTION("""COMPUTED_VALUE""")," Sección 1ª Parque Central")</f>
        <v> Sección 1ª Parque Central</v>
      </c>
      <c r="W494" t="str">
        <f>IFERROR(__xludf.DUMMYFUNCTION("""COMPUTED_VALUE""")," Mendoza")</f>
        <v> Mendoza</v>
      </c>
      <c r="X494" t="str">
        <f>IFERROR(__xludf.DUMMYFUNCTION("""COMPUTED_VALUE""")," AR""")</f>
        <v> AR"</v>
      </c>
    </row>
    <row r="495">
      <c r="A495" s="1">
        <v>870.0</v>
      </c>
      <c r="B495" s="1" t="s">
        <v>55</v>
      </c>
      <c r="C495" s="1">
        <v>11.0</v>
      </c>
      <c r="D495" s="1" t="s">
        <v>3808</v>
      </c>
      <c r="E495" s="1" t="s">
        <v>1104</v>
      </c>
      <c r="F495" s="1" t="s">
        <v>3501</v>
      </c>
      <c r="G495" s="1" t="s">
        <v>3809</v>
      </c>
      <c r="H495" s="3" t="s">
        <v>1834</v>
      </c>
      <c r="I495" s="1" t="s">
        <v>21</v>
      </c>
      <c r="J495" s="1" t="s">
        <v>3810</v>
      </c>
      <c r="K495">
        <v>-68.846308</v>
      </c>
      <c r="L495">
        <v>-32.88483</v>
      </c>
      <c r="N495" s="1" t="s">
        <v>3811</v>
      </c>
      <c r="O495">
        <f t="shared" si="1"/>
        <v>-32.88483</v>
      </c>
      <c r="P495">
        <f>IFERROR(__xludf.DUMMYFUNCTION("""COMPUTED_VALUE"""),-68.846308)</f>
        <v>-68.846308</v>
      </c>
      <c r="Q495" t="str">
        <f>IFERROR(__xludf.DUMMYFUNCTION("""COMPUTED_VALUE"""),"""Av, Las Heras 621")</f>
        <v>"Av, Las Heras 621</v>
      </c>
      <c r="R495" t="str">
        <f>IFERROR(__xludf.DUMMYFUNCTION("""COMPUTED_VALUE""")," Mendoza ")</f>
        <v> Mendoza </v>
      </c>
      <c r="S495" t="str">
        <f>IFERROR(__xludf.DUMMYFUNCTION("""COMPUTED_VALUE""")," Argentina""")</f>
        <v> Argentina"</v>
      </c>
      <c r="T495" t="str">
        <f>IFERROR(__xludf.DUMMYFUNCTION("""COMPUTED_VALUE"""),"""Avenida Las Heras 621")</f>
        <v>"Avenida Las Heras 621</v>
      </c>
      <c r="U495" t="str">
        <f>IFERROR(__xludf.DUMMYFUNCTION("""COMPUTED_VALUE""")," Ciudad de Mendoza")</f>
        <v> Ciudad de Mendoza</v>
      </c>
      <c r="V495" t="str">
        <f>IFERROR(__xludf.DUMMYFUNCTION("""COMPUTED_VALUE""")," Sección 1ª Parque Central")</f>
        <v> Sección 1ª Parque Central</v>
      </c>
      <c r="W495" t="str">
        <f>IFERROR(__xludf.DUMMYFUNCTION("""COMPUTED_VALUE""")," Mendoza")</f>
        <v> Mendoza</v>
      </c>
      <c r="X495" t="str">
        <f>IFERROR(__xludf.DUMMYFUNCTION("""COMPUTED_VALUE""")," AR""")</f>
        <v> AR"</v>
      </c>
    </row>
    <row r="496">
      <c r="A496" s="1">
        <v>934.0</v>
      </c>
      <c r="B496" s="1" t="s">
        <v>55</v>
      </c>
      <c r="C496" s="1">
        <v>14.0</v>
      </c>
      <c r="D496" s="1" t="s">
        <v>3819</v>
      </c>
      <c r="E496" s="1" t="s">
        <v>1104</v>
      </c>
      <c r="F496" s="1" t="s">
        <v>3501</v>
      </c>
      <c r="G496" s="1" t="s">
        <v>3820</v>
      </c>
      <c r="H496" s="3" t="s">
        <v>1344</v>
      </c>
      <c r="I496" s="1" t="s">
        <v>21</v>
      </c>
      <c r="J496" s="1" t="s">
        <v>3824</v>
      </c>
      <c r="K496">
        <v>-68.841896</v>
      </c>
      <c r="L496">
        <v>-32.885768</v>
      </c>
      <c r="N496" s="1" t="s">
        <v>3826</v>
      </c>
      <c r="O496">
        <f t="shared" si="1"/>
        <v>-32.885768</v>
      </c>
      <c r="P496">
        <f>IFERROR(__xludf.DUMMYFUNCTION("""COMPUTED_VALUE"""),-68.841896)</f>
        <v>-68.841896</v>
      </c>
      <c r="Q496" t="str">
        <f>IFERROR(__xludf.DUMMYFUNCTION("""COMPUTED_VALUE"""),"""Av, Las Heras 290")</f>
        <v>"Av, Las Heras 290</v>
      </c>
      <c r="R496" t="str">
        <f>IFERROR(__xludf.DUMMYFUNCTION("""COMPUTED_VALUE""")," Mendoza ")</f>
        <v> Mendoza </v>
      </c>
      <c r="S496" t="str">
        <f>IFERROR(__xludf.DUMMYFUNCTION("""COMPUTED_VALUE""")," Argentina""")</f>
        <v> Argentina"</v>
      </c>
      <c r="T496" t="str">
        <f>IFERROR(__xludf.DUMMYFUNCTION("""COMPUTED_VALUE"""),"""Avenida Las Heras 290")</f>
        <v>"Avenida Las Heras 290</v>
      </c>
      <c r="U496" t="str">
        <f>IFERROR(__xludf.DUMMYFUNCTION("""COMPUTED_VALUE""")," Ciudad de Mendoza")</f>
        <v> Ciudad de Mendoza</v>
      </c>
      <c r="V496" t="str">
        <f>IFERROR(__xludf.DUMMYFUNCTION("""COMPUTED_VALUE""")," Sección 1ª Parque Central")</f>
        <v> Sección 1ª Parque Central</v>
      </c>
      <c r="W496" t="str">
        <f>IFERROR(__xludf.DUMMYFUNCTION("""COMPUTED_VALUE""")," Mendoza")</f>
        <v> Mendoza</v>
      </c>
      <c r="X496" t="str">
        <f>IFERROR(__xludf.DUMMYFUNCTION("""COMPUTED_VALUE""")," AR""")</f>
        <v> AR"</v>
      </c>
    </row>
    <row r="497">
      <c r="A497" s="1">
        <v>952.0</v>
      </c>
      <c r="B497" s="1" t="s">
        <v>55</v>
      </c>
      <c r="C497" s="1">
        <v>6.0</v>
      </c>
      <c r="D497" s="1" t="s">
        <v>3837</v>
      </c>
      <c r="E497" s="1" t="s">
        <v>1104</v>
      </c>
      <c r="F497" s="1" t="s">
        <v>3501</v>
      </c>
      <c r="G497" s="1" t="s">
        <v>3839</v>
      </c>
      <c r="H497" s="1" t="s">
        <v>3840</v>
      </c>
      <c r="I497" s="1" t="s">
        <v>21</v>
      </c>
      <c r="J497" s="1" t="s">
        <v>3842</v>
      </c>
      <c r="K497">
        <v>-69.343204</v>
      </c>
      <c r="L497">
        <v>-32.592597</v>
      </c>
      <c r="N497" s="1" t="s">
        <v>3844</v>
      </c>
      <c r="O497">
        <f t="shared" si="1"/>
        <v>-32.592597</v>
      </c>
      <c r="P497">
        <f>IFERROR(__xludf.DUMMYFUNCTION("""COMPUTED_VALUE"""),-69.343204)</f>
        <v>-69.343204</v>
      </c>
      <c r="Q497" t="str">
        <f>IFERROR(__xludf.DUMMYFUNCTION("""COMPUTED_VALUE"""),"""Av, Las Heras 54")</f>
        <v>"Av, Las Heras 54</v>
      </c>
      <c r="R497" t="str">
        <f>IFERROR(__xludf.DUMMYFUNCTION("""COMPUTED_VALUE""")," Mendoza ")</f>
        <v> Mendoza </v>
      </c>
      <c r="S497" t="str">
        <f>IFERROR(__xludf.DUMMYFUNCTION("""COMPUTED_VALUE""")," Argentina""")</f>
        <v> Argentina"</v>
      </c>
      <c r="T497" t="str">
        <f>IFERROR(__xludf.DUMMYFUNCTION("""COMPUTED_VALUE"""),"""Avenida Las Heras")</f>
        <v>"Avenida Las Heras</v>
      </c>
      <c r="U497" t="str">
        <f>IFERROR(__xludf.DUMMYFUNCTION("""COMPUTED_VALUE""")," Uspallata")</f>
        <v> Uspallata</v>
      </c>
      <c r="V497" t="str">
        <f>IFERROR(__xludf.DUMMYFUNCTION("""COMPUTED_VALUE""")," Distrito Uspallata")</f>
        <v> Distrito Uspallata</v>
      </c>
      <c r="W497" t="str">
        <f>IFERROR(__xludf.DUMMYFUNCTION("""COMPUTED_VALUE""")," Mendoza")</f>
        <v> Mendoza</v>
      </c>
      <c r="X497" t="str">
        <f>IFERROR(__xludf.DUMMYFUNCTION("""COMPUTED_VALUE""")," AR""")</f>
        <v> AR"</v>
      </c>
    </row>
    <row r="498">
      <c r="B498" s="1" t="s">
        <v>62</v>
      </c>
      <c r="C498" s="1">
        <v>8.0</v>
      </c>
      <c r="D498" s="1" t="s">
        <v>3854</v>
      </c>
      <c r="E498" s="1" t="s">
        <v>1104</v>
      </c>
      <c r="F498" s="1" t="s">
        <v>3501</v>
      </c>
      <c r="G498" s="1" t="s">
        <v>3856</v>
      </c>
      <c r="H498" s="1" t="s">
        <v>3856</v>
      </c>
      <c r="I498" s="1" t="s">
        <v>21</v>
      </c>
      <c r="J498" s="1" t="s">
        <v>3858</v>
      </c>
      <c r="K498">
        <v>-68.845681</v>
      </c>
      <c r="L498">
        <v>-32.894025</v>
      </c>
      <c r="N498" s="1" t="s">
        <v>3859</v>
      </c>
      <c r="O498">
        <f t="shared" si="1"/>
        <v>-32.894025</v>
      </c>
      <c r="P498">
        <f>IFERROR(__xludf.DUMMYFUNCTION("""COMPUTED_VALUE"""),-68.845681)</f>
        <v>-68.845681</v>
      </c>
      <c r="Q498" t="str">
        <f>IFERROR(__xludf.DUMMYFUNCTION("""COMPUTED_VALUE"""),"""Av, Colón 733")</f>
        <v>"Av, Colón 733</v>
      </c>
      <c r="R498" t="str">
        <f>IFERROR(__xludf.DUMMYFUNCTION("""COMPUTED_VALUE""")," Mendoza ")</f>
        <v> Mendoza </v>
      </c>
      <c r="S498" t="str">
        <f>IFERROR(__xludf.DUMMYFUNCTION("""COMPUTED_VALUE""")," Argentina""")</f>
        <v> Argentina"</v>
      </c>
      <c r="T498" t="str">
        <f>IFERROR(__xludf.DUMMYFUNCTION("""COMPUTED_VALUE"""),"""Avenida Colón")</f>
        <v>"Avenida Colón</v>
      </c>
      <c r="U498" t="str">
        <f>IFERROR(__xludf.DUMMYFUNCTION("""COMPUTED_VALUE""")," Ciudad de Mendoza")</f>
        <v> Ciudad de Mendoza</v>
      </c>
      <c r="V498" t="str">
        <f>IFERROR(__xludf.DUMMYFUNCTION("""COMPUTED_VALUE""")," Sección 2ª Barrio Cívico")</f>
        <v> Sección 2ª Barrio Cívico</v>
      </c>
      <c r="W498" t="str">
        <f>IFERROR(__xludf.DUMMYFUNCTION("""COMPUTED_VALUE""")," Mendoza")</f>
        <v> Mendoza</v>
      </c>
      <c r="X498" t="str">
        <f>IFERROR(__xludf.DUMMYFUNCTION("""COMPUTED_VALUE""")," AR""")</f>
        <v> AR"</v>
      </c>
    </row>
    <row r="499">
      <c r="A499" s="1">
        <v>1094.0</v>
      </c>
      <c r="B499" s="1" t="s">
        <v>62</v>
      </c>
      <c r="C499" s="1">
        <v>2.0</v>
      </c>
      <c r="D499" s="1" t="s">
        <v>3866</v>
      </c>
      <c r="E499" s="1" t="s">
        <v>1104</v>
      </c>
      <c r="F499" s="1" t="s">
        <v>3501</v>
      </c>
      <c r="G499" s="1" t="s">
        <v>3867</v>
      </c>
      <c r="H499" s="3" t="s">
        <v>1695</v>
      </c>
      <c r="I499" s="1" t="s">
        <v>21</v>
      </c>
      <c r="J499" s="1" t="s">
        <v>3870</v>
      </c>
      <c r="K499">
        <v>-68.843258</v>
      </c>
      <c r="L499">
        <v>-32.894605</v>
      </c>
      <c r="N499" s="1" t="s">
        <v>3871</v>
      </c>
      <c r="O499">
        <f t="shared" si="1"/>
        <v>-32.894605</v>
      </c>
      <c r="P499">
        <f>IFERROR(__xludf.DUMMYFUNCTION("""COMPUTED_VALUE"""),-68.843258)</f>
        <v>-68.843258</v>
      </c>
      <c r="Q499" t="str">
        <f>IFERROR(__xludf.DUMMYFUNCTION("""COMPUTED_VALUE"""),"""Av, Colón 204")</f>
        <v>"Av, Colón 204</v>
      </c>
      <c r="R499" t="str">
        <f>IFERROR(__xludf.DUMMYFUNCTION("""COMPUTED_VALUE""")," Mendoza ")</f>
        <v> Mendoza </v>
      </c>
      <c r="S499" t="str">
        <f>IFERROR(__xludf.DUMMYFUNCTION("""COMPUTED_VALUE""")," Argentina""")</f>
        <v> Argentina"</v>
      </c>
      <c r="T499" t="str">
        <f>IFERROR(__xludf.DUMMYFUNCTION("""COMPUTED_VALUE"""),"""Avenida Colón 204")</f>
        <v>"Avenida Colón 204</v>
      </c>
      <c r="U499" t="str">
        <f>IFERROR(__xludf.DUMMYFUNCTION("""COMPUTED_VALUE""")," Ciudad de Mendoza")</f>
        <v> Ciudad de Mendoza</v>
      </c>
      <c r="V499" t="str">
        <f>IFERROR(__xludf.DUMMYFUNCTION("""COMPUTED_VALUE""")," Sección 2ª Barrio Cívico")</f>
        <v> Sección 2ª Barrio Cívico</v>
      </c>
      <c r="W499" t="str">
        <f>IFERROR(__xludf.DUMMYFUNCTION("""COMPUTED_VALUE""")," Mendoza")</f>
        <v> Mendoza</v>
      </c>
      <c r="X499" t="str">
        <f>IFERROR(__xludf.DUMMYFUNCTION("""COMPUTED_VALUE""")," AR""")</f>
        <v> AR"</v>
      </c>
    </row>
    <row r="500">
      <c r="A500" s="1">
        <v>1137.0</v>
      </c>
      <c r="B500" s="1" t="s">
        <v>120</v>
      </c>
      <c r="C500" s="1" t="s">
        <v>1103</v>
      </c>
      <c r="D500" s="1" t="s">
        <v>1103</v>
      </c>
      <c r="E500" s="1" t="s">
        <v>1104</v>
      </c>
      <c r="F500" s="1" t="s">
        <v>3501</v>
      </c>
      <c r="G500" s="1" t="s">
        <v>3595</v>
      </c>
      <c r="H500" s="1" t="s">
        <v>1103</v>
      </c>
      <c r="I500" s="1" t="s">
        <v>21</v>
      </c>
      <c r="J500" s="1" t="s">
        <v>3884</v>
      </c>
      <c r="K500">
        <v>-68.84806</v>
      </c>
      <c r="L500">
        <v>-32.887937</v>
      </c>
      <c r="N500" s="1" t="s">
        <v>3888</v>
      </c>
      <c r="O500">
        <f t="shared" si="1"/>
        <v>-32.887937</v>
      </c>
      <c r="P500">
        <f>IFERROR(__xludf.DUMMYFUNCTION("""COMPUTED_VALUE"""),-68.84806)</f>
        <v>-68.84806</v>
      </c>
      <c r="Q500" t="str">
        <f>IFERROR(__xludf.DUMMYFUNCTION("""COMPUTED_VALUE"""),"""Espejo 285")</f>
        <v>"Espejo 285</v>
      </c>
      <c r="R500" t="str">
        <f>IFERROR(__xludf.DUMMYFUNCTION("""COMPUTED_VALUE""")," Mendoza ")</f>
        <v> Mendoza </v>
      </c>
      <c r="S500" t="str">
        <f>IFERROR(__xludf.DUMMYFUNCTION("""COMPUTED_VALUE""")," Argentina""")</f>
        <v> Argentina"</v>
      </c>
      <c r="T500" t="str">
        <f>IFERROR(__xludf.DUMMYFUNCTION("""COMPUTED_VALUE"""),"""Espejo")</f>
        <v>"Espejo</v>
      </c>
      <c r="U500" t="str">
        <f>IFERROR(__xludf.DUMMYFUNCTION("""COMPUTED_VALUE""")," Ciudad de Mendoza")</f>
        <v> Ciudad de Mendoza</v>
      </c>
      <c r="V500" t="str">
        <f>IFERROR(__xludf.DUMMYFUNCTION("""COMPUTED_VALUE""")," Sección 2ª Barrio Cívico")</f>
        <v> Sección 2ª Barrio Cívico</v>
      </c>
      <c r="W500" t="str">
        <f>IFERROR(__xludf.DUMMYFUNCTION("""COMPUTED_VALUE""")," Mendoza")</f>
        <v> Mendoza</v>
      </c>
      <c r="X500" t="str">
        <f>IFERROR(__xludf.DUMMYFUNCTION("""COMPUTED_VALUE""")," AR""")</f>
        <v> AR"</v>
      </c>
    </row>
    <row r="501">
      <c r="A501" s="1">
        <v>1184.0</v>
      </c>
      <c r="B501" s="1" t="s">
        <v>227</v>
      </c>
      <c r="C501" s="1" t="s">
        <v>1103</v>
      </c>
      <c r="D501" s="1" t="s">
        <v>1103</v>
      </c>
      <c r="E501" s="1" t="s">
        <v>1104</v>
      </c>
      <c r="F501" s="1" t="s">
        <v>3501</v>
      </c>
      <c r="G501" s="1" t="s">
        <v>3901</v>
      </c>
      <c r="H501" s="1" t="s">
        <v>1103</v>
      </c>
      <c r="I501" s="1" t="s">
        <v>21</v>
      </c>
      <c r="J501" s="1" t="s">
        <v>3902</v>
      </c>
      <c r="K501">
        <v>-67.688023</v>
      </c>
      <c r="L501">
        <v>-34.979176</v>
      </c>
      <c r="N501" s="1" t="s">
        <v>3903</v>
      </c>
      <c r="O501">
        <f t="shared" si="1"/>
        <v>-34.979176</v>
      </c>
      <c r="P501">
        <f>IFERROR(__xludf.DUMMYFUNCTION("""COMPUTED_VALUE"""),-67.688023)</f>
        <v>-67.688023</v>
      </c>
      <c r="Q501" t="str">
        <f>IFERROR(__xludf.DUMMYFUNCTION("""COMPUTED_VALUE"""),"""Godoy Cruz 29-33-37")</f>
        <v>"Godoy Cruz 29-33-37</v>
      </c>
      <c r="R501" t="str">
        <f>IFERROR(__xludf.DUMMYFUNCTION("""COMPUTED_VALUE""")," Mendoza ")</f>
        <v> Mendoza </v>
      </c>
      <c r="S501" t="str">
        <f>IFERROR(__xludf.DUMMYFUNCTION("""COMPUTED_VALUE""")," Argentina""")</f>
        <v> Argentina"</v>
      </c>
      <c r="T501" t="str">
        <f>IFERROR(__xludf.DUMMYFUNCTION("""COMPUTED_VALUE"""),"""Godoy Cruz")</f>
        <v>"Godoy Cruz</v>
      </c>
      <c r="U501" t="str">
        <f>IFERROR(__xludf.DUMMYFUNCTION("""COMPUTED_VALUE""")," General Alvear")</f>
        <v> General Alvear</v>
      </c>
      <c r="V501" t="str">
        <f>IFERROR(__xludf.DUMMYFUNCTION("""COMPUTED_VALUE""")," Distrito Ciudad de General Alvear")</f>
        <v> Distrito Ciudad de General Alvear</v>
      </c>
      <c r="W501" t="str">
        <f>IFERROR(__xludf.DUMMYFUNCTION("""COMPUTED_VALUE""")," Mendoza")</f>
        <v> Mendoza</v>
      </c>
      <c r="X501" t="str">
        <f>IFERROR(__xludf.DUMMYFUNCTION("""COMPUTED_VALUE""")," AR""")</f>
        <v> AR"</v>
      </c>
    </row>
    <row r="502">
      <c r="A502" s="1">
        <v>1251.0</v>
      </c>
      <c r="B502" s="1" t="s">
        <v>248</v>
      </c>
      <c r="C502" s="1" t="s">
        <v>1103</v>
      </c>
      <c r="D502" s="1" t="s">
        <v>1103</v>
      </c>
      <c r="E502" s="1" t="s">
        <v>1104</v>
      </c>
      <c r="F502" s="1" t="s">
        <v>3501</v>
      </c>
      <c r="G502" s="1" t="s">
        <v>2448</v>
      </c>
      <c r="H502" s="1" t="s">
        <v>1103</v>
      </c>
      <c r="I502" s="1" t="s">
        <v>21</v>
      </c>
      <c r="J502" s="1" t="s">
        <v>2450</v>
      </c>
      <c r="K502">
        <v>-67.683115</v>
      </c>
      <c r="L502">
        <v>-34.974904</v>
      </c>
      <c r="N502" s="1" t="s">
        <v>3913</v>
      </c>
      <c r="O502">
        <f t="shared" si="1"/>
        <v>-34.974904</v>
      </c>
      <c r="P502">
        <f>IFERROR(__xludf.DUMMYFUNCTION("""COMPUTED_VALUE"""),-67.683115)</f>
        <v>-67.683115</v>
      </c>
      <c r="Q502" t="str">
        <f>IFERROR(__xludf.DUMMYFUNCTION("""COMPUTED_VALUE"""),"""España 1632")</f>
        <v>"España 1632</v>
      </c>
      <c r="R502" t="str">
        <f>IFERROR(__xludf.DUMMYFUNCTION("""COMPUTED_VALUE""")," Mendoza ")</f>
        <v> Mendoza </v>
      </c>
      <c r="S502" t="str">
        <f>IFERROR(__xludf.DUMMYFUNCTION("""COMPUTED_VALUE""")," Argentina""")</f>
        <v> Argentina"</v>
      </c>
      <c r="T502" t="str">
        <f>IFERROR(__xludf.DUMMYFUNCTION("""COMPUTED_VALUE"""),"""España")</f>
        <v>"España</v>
      </c>
      <c r="U502" t="str">
        <f>IFERROR(__xludf.DUMMYFUNCTION("""COMPUTED_VALUE""")," General Alvear")</f>
        <v> General Alvear</v>
      </c>
      <c r="V502" t="str">
        <f>IFERROR(__xludf.DUMMYFUNCTION("""COMPUTED_VALUE""")," Distrito Ciudad de General Alvear")</f>
        <v> Distrito Ciudad de General Alvear</v>
      </c>
      <c r="W502" t="str">
        <f>IFERROR(__xludf.DUMMYFUNCTION("""COMPUTED_VALUE""")," Mendoza")</f>
        <v> Mendoza</v>
      </c>
      <c r="X502" t="str">
        <f>IFERROR(__xludf.DUMMYFUNCTION("""COMPUTED_VALUE""")," AR""")</f>
        <v> AR"</v>
      </c>
    </row>
    <row r="503">
      <c r="A503" s="1">
        <v>1399.0</v>
      </c>
      <c r="D503" s="1" t="s">
        <v>3922</v>
      </c>
      <c r="E503" s="1" t="s">
        <v>1104</v>
      </c>
      <c r="F503" s="1" t="s">
        <v>3501</v>
      </c>
      <c r="G503" s="1" t="s">
        <v>3923</v>
      </c>
      <c r="I503" s="1" t="s">
        <v>21</v>
      </c>
      <c r="J503" s="1" t="s">
        <v>3925</v>
      </c>
      <c r="K503">
        <v>-100.445882</v>
      </c>
      <c r="L503">
        <v>39.78373</v>
      </c>
      <c r="N503" s="1" t="s">
        <v>3927</v>
      </c>
      <c r="O503">
        <f t="shared" si="1"/>
        <v>39.78373</v>
      </c>
      <c r="P503">
        <f>IFERROR(__xludf.DUMMYFUNCTION("""COMPUTED_VALUE"""),-100.445882)</f>
        <v>-100.445882</v>
      </c>
      <c r="Q503" t="str">
        <f>IFERROR(__xludf.DUMMYFUNCTION("""COMPUTED_VALUE"""),"""San Martín 1167 local s124")</f>
        <v>"San Martín 1167 local s124</v>
      </c>
      <c r="R503" t="str">
        <f>IFERROR(__xludf.DUMMYFUNCTION("""COMPUTED_VALUE""")," Mendoza ")</f>
        <v> Mendoza </v>
      </c>
      <c r="S503" t="str">
        <f>IFERROR(__xludf.DUMMYFUNCTION("""COMPUTED_VALUE""")," Argentina""")</f>
        <v> Argentina"</v>
      </c>
      <c r="T503" t="str">
        <f>IFERROR(__xludf.DUMMYFUNCTION("""COMPUTED_VALUE"""),"US")</f>
        <v>US</v>
      </c>
    </row>
    <row r="504">
      <c r="A504" s="1">
        <v>1526.0</v>
      </c>
      <c r="D504" s="1" t="s">
        <v>3936</v>
      </c>
      <c r="E504" s="1" t="s">
        <v>1104</v>
      </c>
      <c r="F504" s="1" t="s">
        <v>3501</v>
      </c>
      <c r="G504" s="1" t="s">
        <v>3937</v>
      </c>
      <c r="I504" s="1" t="s">
        <v>21</v>
      </c>
      <c r="J504" s="1" t="s">
        <v>3938</v>
      </c>
      <c r="K504">
        <v>-100.445882</v>
      </c>
      <c r="L504">
        <v>39.78373</v>
      </c>
      <c r="N504" s="1" t="s">
        <v>3939</v>
      </c>
      <c r="O504">
        <f t="shared" si="1"/>
        <v>39.78373</v>
      </c>
      <c r="P504">
        <f>IFERROR(__xludf.DUMMYFUNCTION("""COMPUTED_VALUE"""),-100.445882)</f>
        <v>-100.445882</v>
      </c>
      <c r="Q504" t="str">
        <f>IFERROR(__xludf.DUMMYFUNCTION("""COMPUTED_VALUE"""),"""San Martín 1355 local 20")</f>
        <v>"San Martín 1355 local 20</v>
      </c>
      <c r="R504" t="str">
        <f>IFERROR(__xludf.DUMMYFUNCTION("""COMPUTED_VALUE""")," Mendoza ")</f>
        <v> Mendoza </v>
      </c>
      <c r="S504" t="str">
        <f>IFERROR(__xludf.DUMMYFUNCTION("""COMPUTED_VALUE""")," Argentina""")</f>
        <v> Argentina"</v>
      </c>
      <c r="T504" t="str">
        <f>IFERROR(__xludf.DUMMYFUNCTION("""COMPUTED_VALUE"""),"US")</f>
        <v>US</v>
      </c>
    </row>
    <row r="505">
      <c r="A505" s="1">
        <v>1545.0</v>
      </c>
      <c r="D505" s="1" t="s">
        <v>3949</v>
      </c>
      <c r="E505" s="1" t="s">
        <v>1104</v>
      </c>
      <c r="F505" s="1" t="s">
        <v>3501</v>
      </c>
      <c r="G505" s="1" t="s">
        <v>3951</v>
      </c>
      <c r="I505" s="1" t="s">
        <v>21</v>
      </c>
      <c r="J505" s="1" t="s">
        <v>3954</v>
      </c>
      <c r="K505">
        <v>-100.445882</v>
      </c>
      <c r="L505">
        <v>39.78373</v>
      </c>
      <c r="N505" s="1" t="s">
        <v>3958</v>
      </c>
      <c r="O505">
        <f t="shared" si="1"/>
        <v>39.78373</v>
      </c>
      <c r="P505">
        <f>IFERROR(__xludf.DUMMYFUNCTION("""COMPUTED_VALUE"""),-100.445882)</f>
        <v>-100.445882</v>
      </c>
      <c r="Q505" t="str">
        <f>IFERROR(__xludf.DUMMYFUNCTION("""COMPUTED_VALUE"""),"""San Martín 1425 local 9")</f>
        <v>"San Martín 1425 local 9</v>
      </c>
      <c r="R505" t="str">
        <f>IFERROR(__xludf.DUMMYFUNCTION("""COMPUTED_VALUE""")," Mendoza ")</f>
        <v> Mendoza </v>
      </c>
      <c r="S505" t="str">
        <f>IFERROR(__xludf.DUMMYFUNCTION("""COMPUTED_VALUE""")," Argentina""")</f>
        <v> Argentina"</v>
      </c>
      <c r="T505" t="str">
        <f>IFERROR(__xludf.DUMMYFUNCTION("""COMPUTED_VALUE"""),"US")</f>
        <v>US</v>
      </c>
    </row>
    <row r="506">
      <c r="A506" s="1">
        <v>62.0</v>
      </c>
      <c r="B506" s="1" t="s">
        <v>12</v>
      </c>
      <c r="C506" s="1">
        <v>0.0</v>
      </c>
      <c r="D506" s="1">
        <v>0.0</v>
      </c>
      <c r="E506" s="1" t="s">
        <v>1104</v>
      </c>
      <c r="F506" s="1" t="s">
        <v>3970</v>
      </c>
      <c r="G506" s="1" t="s">
        <v>3971</v>
      </c>
      <c r="H506" s="1">
        <v>0.0</v>
      </c>
      <c r="I506" s="1" t="s">
        <v>21</v>
      </c>
      <c r="J506" s="1" t="s">
        <v>3973</v>
      </c>
      <c r="K506">
        <v>-68.850143</v>
      </c>
      <c r="L506">
        <v>-32.906609</v>
      </c>
      <c r="N506" s="1" t="s">
        <v>3974</v>
      </c>
      <c r="O506">
        <f t="shared" si="1"/>
        <v>-32.906609</v>
      </c>
      <c r="P506">
        <f>IFERROR(__xludf.DUMMYFUNCTION("""COMPUTED_VALUE"""),-68.850143)</f>
        <v>-68.850143</v>
      </c>
      <c r="Q506" t="str">
        <f>IFERROR(__xludf.DUMMYFUNCTION("""COMPUTED_VALUE"""),"""Juan B, Justo 476")</f>
        <v>"Juan B, Justo 476</v>
      </c>
      <c r="R506" t="str">
        <f>IFERROR(__xludf.DUMMYFUNCTION("""COMPUTED_VALUE""")," Mendoza ")</f>
        <v> Mendoza </v>
      </c>
      <c r="S506" t="str">
        <f>IFERROR(__xludf.DUMMYFUNCTION("""COMPUTED_VALUE""")," Argentina""")</f>
        <v> Argentina"</v>
      </c>
      <c r="T506" t="str">
        <f>IFERROR(__xludf.DUMMYFUNCTION("""COMPUTED_VALUE"""),"""Juan B, Justo 476")</f>
        <v>"Juan B, Justo 476</v>
      </c>
      <c r="U506" t="str">
        <f>IFERROR(__xludf.DUMMYFUNCTION("""COMPUTED_VALUE""")," Villa Mercedes")</f>
        <v> Villa Mercedes</v>
      </c>
      <c r="V506" t="str">
        <f>IFERROR(__xludf.DUMMYFUNCTION("""COMPUTED_VALUE""")," Departamento Godoy Cruz")</f>
        <v> Departamento Godoy Cruz</v>
      </c>
      <c r="W506" t="str">
        <f>IFERROR(__xludf.DUMMYFUNCTION("""COMPUTED_VALUE""")," Mendoza")</f>
        <v> Mendoza</v>
      </c>
      <c r="X506" t="str">
        <f>IFERROR(__xludf.DUMMYFUNCTION("""COMPUTED_VALUE""")," AR""")</f>
        <v> AR"</v>
      </c>
    </row>
    <row r="507">
      <c r="A507" s="1">
        <v>92.0</v>
      </c>
      <c r="B507" s="1" t="s">
        <v>29</v>
      </c>
      <c r="C507" s="1" t="s">
        <v>1103</v>
      </c>
      <c r="D507" s="1" t="s">
        <v>3982</v>
      </c>
      <c r="E507" s="1" t="s">
        <v>1104</v>
      </c>
      <c r="F507" s="1" t="s">
        <v>3970</v>
      </c>
      <c r="G507" s="3" t="s">
        <v>3983</v>
      </c>
      <c r="H507" s="1" t="s">
        <v>1103</v>
      </c>
      <c r="I507" s="1" t="s">
        <v>21</v>
      </c>
      <c r="J507" s="1" t="s">
        <v>3986</v>
      </c>
      <c r="K507">
        <v>-67.68561</v>
      </c>
      <c r="L507">
        <v>-34.972739</v>
      </c>
      <c r="N507" s="1" t="s">
        <v>3988</v>
      </c>
      <c r="O507">
        <f t="shared" si="1"/>
        <v>-34.972739</v>
      </c>
      <c r="P507">
        <f>IFERROR(__xludf.DUMMYFUNCTION("""COMPUTED_VALUE"""),-67.68561)</f>
        <v>-67.68561</v>
      </c>
      <c r="Q507" t="str">
        <f>IFERROR(__xludf.DUMMYFUNCTION("""COMPUTED_VALUE"""),"""9 de Julio 1660")</f>
        <v>"9 de Julio 1660</v>
      </c>
      <c r="R507" t="str">
        <f>IFERROR(__xludf.DUMMYFUNCTION("""COMPUTED_VALUE""")," Mendoza ")</f>
        <v> Mendoza </v>
      </c>
      <c r="S507" t="str">
        <f>IFERROR(__xludf.DUMMYFUNCTION("""COMPUTED_VALUE""")," Argentina""")</f>
        <v> Argentina"</v>
      </c>
      <c r="T507" t="str">
        <f>IFERROR(__xludf.DUMMYFUNCTION("""COMPUTED_VALUE"""),"""9 de Julio")</f>
        <v>"9 de Julio</v>
      </c>
      <c r="U507" t="str">
        <f>IFERROR(__xludf.DUMMYFUNCTION("""COMPUTED_VALUE""")," General Alvear")</f>
        <v> General Alvear</v>
      </c>
      <c r="V507" t="str">
        <f>IFERROR(__xludf.DUMMYFUNCTION("""COMPUTED_VALUE""")," Distrito Ciudad de General Alvear")</f>
        <v> Distrito Ciudad de General Alvear</v>
      </c>
      <c r="W507" t="str">
        <f>IFERROR(__xludf.DUMMYFUNCTION("""COMPUTED_VALUE""")," Mendoza")</f>
        <v> Mendoza</v>
      </c>
      <c r="X507" t="str">
        <f>IFERROR(__xludf.DUMMYFUNCTION("""COMPUTED_VALUE""")," AR""")</f>
        <v> AR"</v>
      </c>
    </row>
    <row r="508">
      <c r="A508" s="1">
        <v>209.0</v>
      </c>
      <c r="B508" s="1" t="s">
        <v>29</v>
      </c>
      <c r="C508" s="1" t="s">
        <v>1103</v>
      </c>
      <c r="D508" s="1" t="s">
        <v>1103</v>
      </c>
      <c r="E508" s="1" t="s">
        <v>1104</v>
      </c>
      <c r="F508" s="1" t="s">
        <v>3970</v>
      </c>
      <c r="G508" s="3" t="s">
        <v>4003</v>
      </c>
      <c r="H508" s="1" t="s">
        <v>1103</v>
      </c>
      <c r="I508" s="1" t="s">
        <v>21</v>
      </c>
      <c r="J508" s="1" t="s">
        <v>4005</v>
      </c>
      <c r="K508">
        <v>-67.68561</v>
      </c>
      <c r="L508">
        <v>-34.972739</v>
      </c>
      <c r="N508" s="1" t="s">
        <v>4008</v>
      </c>
      <c r="O508">
        <f t="shared" si="1"/>
        <v>-34.972739</v>
      </c>
      <c r="P508">
        <f>IFERROR(__xludf.DUMMYFUNCTION("""COMPUTED_VALUE"""),-67.68561)</f>
        <v>-67.68561</v>
      </c>
      <c r="Q508" t="str">
        <f>IFERROR(__xludf.DUMMYFUNCTION("""COMPUTED_VALUE"""),"""9 de julio 1117")</f>
        <v>"9 de julio 1117</v>
      </c>
      <c r="R508" t="str">
        <f>IFERROR(__xludf.DUMMYFUNCTION("""COMPUTED_VALUE""")," Mendoza ")</f>
        <v> Mendoza </v>
      </c>
      <c r="S508" t="str">
        <f>IFERROR(__xludf.DUMMYFUNCTION("""COMPUTED_VALUE""")," Argentina""")</f>
        <v> Argentina"</v>
      </c>
      <c r="T508" t="str">
        <f>IFERROR(__xludf.DUMMYFUNCTION("""COMPUTED_VALUE"""),"""9 de Julio")</f>
        <v>"9 de Julio</v>
      </c>
      <c r="U508" t="str">
        <f>IFERROR(__xludf.DUMMYFUNCTION("""COMPUTED_VALUE""")," General Alvear")</f>
        <v> General Alvear</v>
      </c>
      <c r="V508" t="str">
        <f>IFERROR(__xludf.DUMMYFUNCTION("""COMPUTED_VALUE""")," Distrito Ciudad de General Alvear")</f>
        <v> Distrito Ciudad de General Alvear</v>
      </c>
      <c r="W508" t="str">
        <f>IFERROR(__xludf.DUMMYFUNCTION("""COMPUTED_VALUE""")," Mendoza")</f>
        <v> Mendoza</v>
      </c>
      <c r="X508" t="str">
        <f>IFERROR(__xludf.DUMMYFUNCTION("""COMPUTED_VALUE""")," AR""")</f>
        <v> AR"</v>
      </c>
    </row>
    <row r="509">
      <c r="A509" s="1">
        <v>211.0</v>
      </c>
      <c r="B509" s="1" t="s">
        <v>29</v>
      </c>
      <c r="C509" s="1" t="s">
        <v>1103</v>
      </c>
      <c r="D509" s="1" t="s">
        <v>1103</v>
      </c>
      <c r="E509" s="1" t="s">
        <v>1104</v>
      </c>
      <c r="F509" s="1" t="s">
        <v>3970</v>
      </c>
      <c r="G509" s="3" t="s">
        <v>3749</v>
      </c>
      <c r="H509" s="1" t="s">
        <v>1103</v>
      </c>
      <c r="I509" s="1" t="s">
        <v>21</v>
      </c>
      <c r="J509" s="1" t="s">
        <v>4017</v>
      </c>
      <c r="K509">
        <v>-67.68561</v>
      </c>
      <c r="L509">
        <v>-34.972739</v>
      </c>
      <c r="N509" s="1" t="s">
        <v>4018</v>
      </c>
      <c r="O509">
        <f t="shared" si="1"/>
        <v>-34.972739</v>
      </c>
      <c r="P509">
        <f>IFERROR(__xludf.DUMMYFUNCTION("""COMPUTED_VALUE"""),-67.68561)</f>
        <v>-67.68561</v>
      </c>
      <c r="Q509" t="str">
        <f>IFERROR(__xludf.DUMMYFUNCTION("""COMPUTED_VALUE"""),"""9 de julio 1125")</f>
        <v>"9 de julio 1125</v>
      </c>
      <c r="R509" t="str">
        <f>IFERROR(__xludf.DUMMYFUNCTION("""COMPUTED_VALUE""")," Mendoza ")</f>
        <v> Mendoza </v>
      </c>
      <c r="S509" t="str">
        <f>IFERROR(__xludf.DUMMYFUNCTION("""COMPUTED_VALUE""")," Argentina""")</f>
        <v> Argentina"</v>
      </c>
      <c r="T509" t="str">
        <f>IFERROR(__xludf.DUMMYFUNCTION("""COMPUTED_VALUE"""),"""9 de Julio")</f>
        <v>"9 de Julio</v>
      </c>
      <c r="U509" t="str">
        <f>IFERROR(__xludf.DUMMYFUNCTION("""COMPUTED_VALUE""")," General Alvear")</f>
        <v> General Alvear</v>
      </c>
      <c r="V509" t="str">
        <f>IFERROR(__xludf.DUMMYFUNCTION("""COMPUTED_VALUE""")," Distrito Ciudad de General Alvear")</f>
        <v> Distrito Ciudad de General Alvear</v>
      </c>
      <c r="W509" t="str">
        <f>IFERROR(__xludf.DUMMYFUNCTION("""COMPUTED_VALUE""")," Mendoza")</f>
        <v> Mendoza</v>
      </c>
      <c r="X509" t="str">
        <f>IFERROR(__xludf.DUMMYFUNCTION("""COMPUTED_VALUE""")," AR""")</f>
        <v> AR"</v>
      </c>
    </row>
    <row r="510">
      <c r="A510" s="1">
        <v>214.0</v>
      </c>
      <c r="B510" s="1" t="s">
        <v>29</v>
      </c>
      <c r="C510" s="1" t="s">
        <v>1103</v>
      </c>
      <c r="D510" s="1" t="s">
        <v>1103</v>
      </c>
      <c r="E510" s="1" t="s">
        <v>1104</v>
      </c>
      <c r="F510" s="1" t="s">
        <v>3970</v>
      </c>
      <c r="G510" s="3" t="s">
        <v>4025</v>
      </c>
      <c r="H510" s="1" t="s">
        <v>1103</v>
      </c>
      <c r="I510" s="1" t="s">
        <v>21</v>
      </c>
      <c r="J510" s="1" t="s">
        <v>4026</v>
      </c>
      <c r="K510">
        <v>-67.68561</v>
      </c>
      <c r="L510">
        <v>-34.972739</v>
      </c>
      <c r="N510" s="1" t="s">
        <v>4028</v>
      </c>
      <c r="O510">
        <f t="shared" si="1"/>
        <v>-34.972739</v>
      </c>
      <c r="P510">
        <f>IFERROR(__xludf.DUMMYFUNCTION("""COMPUTED_VALUE"""),-67.68561)</f>
        <v>-67.68561</v>
      </c>
      <c r="Q510" t="str">
        <f>IFERROR(__xludf.DUMMYFUNCTION("""COMPUTED_VALUE"""),"""9 de julio 1143")</f>
        <v>"9 de julio 1143</v>
      </c>
      <c r="R510" t="str">
        <f>IFERROR(__xludf.DUMMYFUNCTION("""COMPUTED_VALUE""")," Mendoza ")</f>
        <v> Mendoza </v>
      </c>
      <c r="S510" t="str">
        <f>IFERROR(__xludf.DUMMYFUNCTION("""COMPUTED_VALUE""")," Argentina""")</f>
        <v> Argentina"</v>
      </c>
      <c r="T510" t="str">
        <f>IFERROR(__xludf.DUMMYFUNCTION("""COMPUTED_VALUE"""),"""9 de Julio")</f>
        <v>"9 de Julio</v>
      </c>
      <c r="U510" t="str">
        <f>IFERROR(__xludf.DUMMYFUNCTION("""COMPUTED_VALUE""")," General Alvear")</f>
        <v> General Alvear</v>
      </c>
      <c r="V510" t="str">
        <f>IFERROR(__xludf.DUMMYFUNCTION("""COMPUTED_VALUE""")," Distrito Ciudad de General Alvear")</f>
        <v> Distrito Ciudad de General Alvear</v>
      </c>
      <c r="W510" t="str">
        <f>IFERROR(__xludf.DUMMYFUNCTION("""COMPUTED_VALUE""")," Mendoza")</f>
        <v> Mendoza</v>
      </c>
      <c r="X510" t="str">
        <f>IFERROR(__xludf.DUMMYFUNCTION("""COMPUTED_VALUE""")," AR""")</f>
        <v> AR"</v>
      </c>
    </row>
    <row r="511">
      <c r="A511" s="1">
        <v>537.0</v>
      </c>
      <c r="B511" s="1" t="s">
        <v>109</v>
      </c>
      <c r="C511" s="1">
        <v>6.0</v>
      </c>
      <c r="D511" s="1" t="s">
        <v>4037</v>
      </c>
      <c r="E511" s="1" t="s">
        <v>1104</v>
      </c>
      <c r="F511" s="1" t="s">
        <v>3970</v>
      </c>
      <c r="G511" s="1" t="s">
        <v>2849</v>
      </c>
      <c r="H511" s="1" t="s">
        <v>4039</v>
      </c>
      <c r="I511" s="1" t="s">
        <v>21</v>
      </c>
      <c r="J511" s="1" t="s">
        <v>2851</v>
      </c>
      <c r="K511">
        <v>-68.838093</v>
      </c>
      <c r="L511">
        <v>-32.887052</v>
      </c>
      <c r="N511" s="1" t="s">
        <v>4041</v>
      </c>
      <c r="O511">
        <f t="shared" si="1"/>
        <v>-32.887052</v>
      </c>
      <c r="P511">
        <f>IFERROR(__xludf.DUMMYFUNCTION("""COMPUTED_VALUE"""),-68.838093)</f>
        <v>-68.838093</v>
      </c>
      <c r="Q511" t="str">
        <f>IFERROR(__xludf.DUMMYFUNCTION("""COMPUTED_VALUE"""),"""Av, San Martín 1425")</f>
        <v>"Av, San Martín 1425</v>
      </c>
      <c r="R511" t="str">
        <f>IFERROR(__xludf.DUMMYFUNCTION("""COMPUTED_VALUE""")," Mendoza ")</f>
        <v> Mendoza </v>
      </c>
      <c r="S511" t="str">
        <f>IFERROR(__xludf.DUMMYFUNCTION("""COMPUTED_VALUE""")," Argentina""")</f>
        <v> Argentina"</v>
      </c>
      <c r="T511" t="str">
        <f>IFERROR(__xludf.DUMMYFUNCTION("""COMPUTED_VALUE"""),"""Avenida San Martín 1425")</f>
        <v>"Avenida San Martín 1425</v>
      </c>
      <c r="U511" t="str">
        <f>IFERROR(__xludf.DUMMYFUNCTION("""COMPUTED_VALUE""")," Ciudad de Mendoza")</f>
        <v> Ciudad de Mendoza</v>
      </c>
      <c r="V511" t="str">
        <f>IFERROR(__xludf.DUMMYFUNCTION("""COMPUTED_VALUE""")," Sección 3ª Parque O'Higgins")</f>
        <v> Sección 3ª Parque O'Higgins</v>
      </c>
      <c r="W511" t="str">
        <f>IFERROR(__xludf.DUMMYFUNCTION("""COMPUTED_VALUE""")," Mendoza")</f>
        <v> Mendoza</v>
      </c>
      <c r="X511" t="str">
        <f>IFERROR(__xludf.DUMMYFUNCTION("""COMPUTED_VALUE""")," AR""")</f>
        <v> AR"</v>
      </c>
    </row>
    <row r="512">
      <c r="A512" s="1">
        <v>556.0</v>
      </c>
      <c r="B512" s="1" t="s">
        <v>109</v>
      </c>
      <c r="C512" s="1">
        <v>0.0</v>
      </c>
      <c r="D512" s="1" t="s">
        <v>4050</v>
      </c>
      <c r="E512" s="1" t="s">
        <v>1104</v>
      </c>
      <c r="F512" s="1" t="s">
        <v>3970</v>
      </c>
      <c r="G512" s="1" t="s">
        <v>2866</v>
      </c>
      <c r="H512" s="1">
        <v>0.0</v>
      </c>
      <c r="I512" s="1" t="s">
        <v>21</v>
      </c>
      <c r="J512" s="1" t="s">
        <v>2867</v>
      </c>
      <c r="K512">
        <v>-68.837251</v>
      </c>
      <c r="L512">
        <v>-32.882265</v>
      </c>
      <c r="N512" s="1" t="s">
        <v>4051</v>
      </c>
      <c r="O512">
        <f t="shared" si="1"/>
        <v>-32.882265</v>
      </c>
      <c r="P512">
        <f>IFERROR(__xludf.DUMMYFUNCTION("""COMPUTED_VALUE"""),-68.837251)</f>
        <v>-68.837251</v>
      </c>
      <c r="Q512" t="str">
        <f>IFERROR(__xludf.DUMMYFUNCTION("""COMPUTED_VALUE"""),"""Av, San Martín 1515")</f>
        <v>"Av, San Martín 1515</v>
      </c>
      <c r="R512" t="str">
        <f>IFERROR(__xludf.DUMMYFUNCTION("""COMPUTED_VALUE""")," Mendoza ")</f>
        <v> Mendoza </v>
      </c>
      <c r="S512" t="str">
        <f>IFERROR(__xludf.DUMMYFUNCTION("""COMPUTED_VALUE""")," Argentina""")</f>
        <v> Argentina"</v>
      </c>
      <c r="T512" t="str">
        <f>IFERROR(__xludf.DUMMYFUNCTION("""COMPUTED_VALUE"""),"""Avenida San Martín")</f>
        <v>"Avenida San Martín</v>
      </c>
      <c r="U512" t="str">
        <f>IFERROR(__xludf.DUMMYFUNCTION("""COMPUTED_VALUE""")," Ciudad de Mendoza")</f>
        <v> Ciudad de Mendoza</v>
      </c>
      <c r="V512" t="str">
        <f>IFERROR(__xludf.DUMMYFUNCTION("""COMPUTED_VALUE""")," Sección 1ª Parque Central")</f>
        <v> Sección 1ª Parque Central</v>
      </c>
      <c r="W512" t="str">
        <f>IFERROR(__xludf.DUMMYFUNCTION("""COMPUTED_VALUE""")," Mendoza")</f>
        <v> Mendoza</v>
      </c>
      <c r="X512" t="str">
        <f>IFERROR(__xludf.DUMMYFUNCTION("""COMPUTED_VALUE""")," AR""")</f>
        <v> AR"</v>
      </c>
    </row>
    <row r="513">
      <c r="A513" s="1">
        <v>557.0</v>
      </c>
      <c r="B513" s="1" t="s">
        <v>109</v>
      </c>
      <c r="C513" s="1">
        <v>4.0</v>
      </c>
      <c r="D513" s="1" t="s">
        <v>646</v>
      </c>
      <c r="E513" s="1" t="s">
        <v>1104</v>
      </c>
      <c r="F513" s="1" t="s">
        <v>3970</v>
      </c>
      <c r="G513" s="1" t="s">
        <v>4062</v>
      </c>
      <c r="H513" s="1" t="s">
        <v>648</v>
      </c>
      <c r="I513" s="1" t="s">
        <v>21</v>
      </c>
      <c r="J513" s="1" t="s">
        <v>4063</v>
      </c>
      <c r="K513">
        <v>-68.83804</v>
      </c>
      <c r="L513">
        <v>-32.885271</v>
      </c>
      <c r="N513" s="1" t="s">
        <v>4064</v>
      </c>
      <c r="O513">
        <f t="shared" si="1"/>
        <v>-32.885271</v>
      </c>
      <c r="P513">
        <f>IFERROR(__xludf.DUMMYFUNCTION("""COMPUTED_VALUE"""),-68.83804)</f>
        <v>-68.83804</v>
      </c>
      <c r="Q513" t="str">
        <f>IFERROR(__xludf.DUMMYFUNCTION("""COMPUTED_VALUE"""),"""Av, San Martín 1509")</f>
        <v>"Av, San Martín 1509</v>
      </c>
      <c r="R513" t="str">
        <f>IFERROR(__xludf.DUMMYFUNCTION("""COMPUTED_VALUE""")," Mendoza ")</f>
        <v> Mendoza </v>
      </c>
      <c r="S513" t="str">
        <f>IFERROR(__xludf.DUMMYFUNCTION("""COMPUTED_VALUE""")," Argentina""")</f>
        <v> Argentina"</v>
      </c>
      <c r="T513" t="str">
        <f>IFERROR(__xludf.DUMMYFUNCTION("""COMPUTED_VALUE"""),"""Avenida San Martín")</f>
        <v>"Avenida San Martín</v>
      </c>
      <c r="U513" t="str">
        <f>IFERROR(__xludf.DUMMYFUNCTION("""COMPUTED_VALUE""")," Ciudad de Mendoza")</f>
        <v> Ciudad de Mendoza</v>
      </c>
      <c r="V513" t="str">
        <f>IFERROR(__xludf.DUMMYFUNCTION("""COMPUTED_VALUE""")," Sección 3ª Parque O'Higgins")</f>
        <v> Sección 3ª Parque O'Higgins</v>
      </c>
      <c r="W513" t="str">
        <f>IFERROR(__xludf.DUMMYFUNCTION("""COMPUTED_VALUE""")," Mendoza")</f>
        <v> Mendoza</v>
      </c>
      <c r="X513" t="str">
        <f>IFERROR(__xludf.DUMMYFUNCTION("""COMPUTED_VALUE""")," AR""")</f>
        <v> AR"</v>
      </c>
    </row>
    <row r="514">
      <c r="A514" s="1">
        <v>561.0</v>
      </c>
      <c r="B514" s="1" t="s">
        <v>109</v>
      </c>
      <c r="C514" s="1">
        <v>0.0</v>
      </c>
      <c r="D514" s="1">
        <v>0.0</v>
      </c>
      <c r="E514" s="1" t="s">
        <v>1104</v>
      </c>
      <c r="F514" s="1" t="s">
        <v>3970</v>
      </c>
      <c r="G514" s="1" t="s">
        <v>4069</v>
      </c>
      <c r="H514" s="1">
        <v>0.0</v>
      </c>
      <c r="I514" s="1" t="s">
        <v>21</v>
      </c>
      <c r="J514" s="1" t="s">
        <v>4070</v>
      </c>
      <c r="K514">
        <v>-68.837854</v>
      </c>
      <c r="L514">
        <v>-32.884243</v>
      </c>
      <c r="N514" s="1" t="s">
        <v>4072</v>
      </c>
      <c r="O514">
        <f t="shared" si="1"/>
        <v>-32.884243</v>
      </c>
      <c r="P514">
        <f>IFERROR(__xludf.DUMMYFUNCTION("""COMPUTED_VALUE"""),-68.837854)</f>
        <v>-68.837854</v>
      </c>
      <c r="Q514" t="str">
        <f>IFERROR(__xludf.DUMMYFUNCTION("""COMPUTED_VALUE"""),"""Av, San Martín 1696")</f>
        <v>"Av, San Martín 1696</v>
      </c>
      <c r="R514" t="str">
        <f>IFERROR(__xludf.DUMMYFUNCTION("""COMPUTED_VALUE""")," Mendoza ")</f>
        <v> Mendoza </v>
      </c>
      <c r="S514" t="str">
        <f>IFERROR(__xludf.DUMMYFUNCTION("""COMPUTED_VALUE""")," Argentina""")</f>
        <v> Argentina"</v>
      </c>
      <c r="T514" t="str">
        <f>IFERROR(__xludf.DUMMYFUNCTION("""COMPUTED_VALUE"""),"""Avenida San Martín 1696")</f>
        <v>"Avenida San Martín 1696</v>
      </c>
      <c r="U514" t="str">
        <f>IFERROR(__xludf.DUMMYFUNCTION("""COMPUTED_VALUE""")," Ciudad de Mendoza")</f>
        <v> Ciudad de Mendoza</v>
      </c>
      <c r="V514" t="str">
        <f>IFERROR(__xludf.DUMMYFUNCTION("""COMPUTED_VALUE""")," Sección 3ª Parque O'Higgins")</f>
        <v> Sección 3ª Parque O'Higgins</v>
      </c>
      <c r="W514" t="str">
        <f>IFERROR(__xludf.DUMMYFUNCTION("""COMPUTED_VALUE""")," Mendoza")</f>
        <v> Mendoza</v>
      </c>
      <c r="X514" t="str">
        <f>IFERROR(__xludf.DUMMYFUNCTION("""COMPUTED_VALUE""")," AR""")</f>
        <v> AR"</v>
      </c>
    </row>
    <row r="515">
      <c r="A515" s="1">
        <v>624.0</v>
      </c>
      <c r="B515" s="1" t="s">
        <v>109</v>
      </c>
      <c r="C515" s="1">
        <v>7.0</v>
      </c>
      <c r="D515" s="1" t="s">
        <v>4083</v>
      </c>
      <c r="E515" s="1" t="s">
        <v>1104</v>
      </c>
      <c r="F515" s="1" t="s">
        <v>3970</v>
      </c>
      <c r="G515" s="1" t="s">
        <v>4084</v>
      </c>
      <c r="H515" s="1" t="s">
        <v>4085</v>
      </c>
      <c r="I515" s="1" t="s">
        <v>21</v>
      </c>
      <c r="J515" s="1" t="s">
        <v>4086</v>
      </c>
      <c r="K515">
        <v>-68.83928</v>
      </c>
      <c r="L515">
        <v>-32.889867</v>
      </c>
      <c r="N515" s="1" t="s">
        <v>4087</v>
      </c>
      <c r="O515">
        <f t="shared" si="1"/>
        <v>-32.889867</v>
      </c>
      <c r="P515">
        <f>IFERROR(__xludf.DUMMYFUNCTION("""COMPUTED_VALUE"""),-68.83928)</f>
        <v>-68.83928</v>
      </c>
      <c r="Q515" t="str">
        <f>IFERROR(__xludf.DUMMYFUNCTION("""COMPUTED_VALUE"""),"""Av, San Martín 1180")</f>
        <v>"Av, San Martín 1180</v>
      </c>
      <c r="R515" t="str">
        <f>IFERROR(__xludf.DUMMYFUNCTION("""COMPUTED_VALUE""")," Mendoza ")</f>
        <v> Mendoza </v>
      </c>
      <c r="S515" t="str">
        <f>IFERROR(__xludf.DUMMYFUNCTION("""COMPUTED_VALUE""")," Argentina""")</f>
        <v> Argentina"</v>
      </c>
      <c r="T515" t="str">
        <f>IFERROR(__xludf.DUMMYFUNCTION("""COMPUTED_VALUE"""),"""Avenida San Martín 1180")</f>
        <v>"Avenida San Martín 1180</v>
      </c>
      <c r="U515" t="str">
        <f>IFERROR(__xludf.DUMMYFUNCTION("""COMPUTED_VALUE""")," Ciudad de Mendoza")</f>
        <v> Ciudad de Mendoza</v>
      </c>
      <c r="V515" t="str">
        <f>IFERROR(__xludf.DUMMYFUNCTION("""COMPUTED_VALUE""")," Sección 3ª Parque O'Higgins")</f>
        <v> Sección 3ª Parque O'Higgins</v>
      </c>
      <c r="W515" t="str">
        <f>IFERROR(__xludf.DUMMYFUNCTION("""COMPUTED_VALUE""")," Mendoza")</f>
        <v> Mendoza</v>
      </c>
      <c r="X515" t="str">
        <f>IFERROR(__xludf.DUMMYFUNCTION("""COMPUTED_VALUE""")," AR""")</f>
        <v> AR"</v>
      </c>
    </row>
    <row r="516">
      <c r="A516" s="1">
        <v>908.0</v>
      </c>
      <c r="B516" s="1" t="s">
        <v>55</v>
      </c>
      <c r="C516" s="1">
        <v>2.0</v>
      </c>
      <c r="D516" s="1">
        <v>0.0</v>
      </c>
      <c r="E516" s="1" t="s">
        <v>1104</v>
      </c>
      <c r="F516" s="1" t="s">
        <v>3970</v>
      </c>
      <c r="G516" s="1" t="s">
        <v>4096</v>
      </c>
      <c r="H516" s="1">
        <v>0.0</v>
      </c>
      <c r="I516" s="1" t="s">
        <v>21</v>
      </c>
      <c r="J516" s="1" t="s">
        <v>4097</v>
      </c>
      <c r="K516">
        <v>-68.843769</v>
      </c>
      <c r="L516">
        <v>-32.885409</v>
      </c>
      <c r="N516" s="1" t="s">
        <v>4098</v>
      </c>
      <c r="O516">
        <f t="shared" si="1"/>
        <v>-32.885409</v>
      </c>
      <c r="P516">
        <f>IFERROR(__xludf.DUMMYFUNCTION("""COMPUTED_VALUE"""),-68.843769)</f>
        <v>-68.843769</v>
      </c>
      <c r="Q516" t="str">
        <f>IFERROR(__xludf.DUMMYFUNCTION("""COMPUTED_VALUE"""),"""Av, Las Heras 426")</f>
        <v>"Av, Las Heras 426</v>
      </c>
      <c r="R516" t="str">
        <f>IFERROR(__xludf.DUMMYFUNCTION("""COMPUTED_VALUE""")," Mendoza ")</f>
        <v> Mendoza </v>
      </c>
      <c r="S516" t="str">
        <f>IFERROR(__xludf.DUMMYFUNCTION("""COMPUTED_VALUE""")," Argentina""")</f>
        <v> Argentina"</v>
      </c>
      <c r="T516" t="str">
        <f>IFERROR(__xludf.DUMMYFUNCTION("""COMPUTED_VALUE"""),"""Avenida Las Heras 426")</f>
        <v>"Avenida Las Heras 426</v>
      </c>
      <c r="U516" t="str">
        <f>IFERROR(__xludf.DUMMYFUNCTION("""COMPUTED_VALUE""")," Ciudad de Mendoza")</f>
        <v> Ciudad de Mendoza</v>
      </c>
      <c r="V516" t="str">
        <f>IFERROR(__xludf.DUMMYFUNCTION("""COMPUTED_VALUE""")," Sección 1ª Parque Central")</f>
        <v> Sección 1ª Parque Central</v>
      </c>
      <c r="W516" t="str">
        <f>IFERROR(__xludf.DUMMYFUNCTION("""COMPUTED_VALUE""")," Mendoza")</f>
        <v> Mendoza</v>
      </c>
      <c r="X516" t="str">
        <f>IFERROR(__xludf.DUMMYFUNCTION("""COMPUTED_VALUE""")," AR""")</f>
        <v> AR"</v>
      </c>
    </row>
    <row r="517">
      <c r="A517" s="1">
        <v>925.0</v>
      </c>
      <c r="B517" s="1" t="s">
        <v>55</v>
      </c>
      <c r="C517" s="1">
        <v>0.0</v>
      </c>
      <c r="D517" s="1">
        <v>0.0</v>
      </c>
      <c r="E517" s="1" t="s">
        <v>1104</v>
      </c>
      <c r="F517" s="1" t="s">
        <v>3970</v>
      </c>
      <c r="G517" s="1" t="s">
        <v>4113</v>
      </c>
      <c r="H517" s="1">
        <v>0.0</v>
      </c>
      <c r="I517" s="1" t="s">
        <v>21</v>
      </c>
      <c r="J517" s="1" t="s">
        <v>4114</v>
      </c>
      <c r="K517">
        <v>-68.841263</v>
      </c>
      <c r="L517">
        <v>-32.885887</v>
      </c>
      <c r="N517" s="1" t="s">
        <v>4116</v>
      </c>
      <c r="O517">
        <f t="shared" si="1"/>
        <v>-32.885887</v>
      </c>
      <c r="P517">
        <f>IFERROR(__xludf.DUMMYFUNCTION("""COMPUTED_VALUE"""),-68.841263)</f>
        <v>-68.841263</v>
      </c>
      <c r="Q517" t="str">
        <f>IFERROR(__xludf.DUMMYFUNCTION("""COMPUTED_VALUE"""),"""Av, Las Heras 232")</f>
        <v>"Av, Las Heras 232</v>
      </c>
      <c r="R517" t="str">
        <f>IFERROR(__xludf.DUMMYFUNCTION("""COMPUTED_VALUE""")," Mendoza ")</f>
        <v> Mendoza </v>
      </c>
      <c r="S517" t="str">
        <f>IFERROR(__xludf.DUMMYFUNCTION("""COMPUTED_VALUE""")," Argentina""")</f>
        <v> Argentina"</v>
      </c>
      <c r="T517" t="str">
        <f>IFERROR(__xludf.DUMMYFUNCTION("""COMPUTED_VALUE"""),"""Avenida Las Heras 232")</f>
        <v>"Avenida Las Heras 232</v>
      </c>
      <c r="U517" t="str">
        <f>IFERROR(__xludf.DUMMYFUNCTION("""COMPUTED_VALUE""")," Ciudad de Mendoza")</f>
        <v> Ciudad de Mendoza</v>
      </c>
      <c r="V517" t="str">
        <f>IFERROR(__xludf.DUMMYFUNCTION("""COMPUTED_VALUE""")," Sección 1ª Parque Central")</f>
        <v> Sección 1ª Parque Central</v>
      </c>
      <c r="W517" t="str">
        <f>IFERROR(__xludf.DUMMYFUNCTION("""COMPUTED_VALUE""")," Mendoza")</f>
        <v> Mendoza</v>
      </c>
      <c r="X517" t="str">
        <f>IFERROR(__xludf.DUMMYFUNCTION("""COMPUTED_VALUE""")," AR""")</f>
        <v> AR"</v>
      </c>
    </row>
    <row r="518">
      <c r="A518" s="1">
        <v>929.0</v>
      </c>
      <c r="B518" s="1" t="s">
        <v>55</v>
      </c>
      <c r="C518" s="1">
        <v>11.0</v>
      </c>
      <c r="D518" s="1" t="s">
        <v>4124</v>
      </c>
      <c r="E518" s="1" t="s">
        <v>1104</v>
      </c>
      <c r="F518" s="1" t="s">
        <v>3970</v>
      </c>
      <c r="G518" s="1" t="s">
        <v>664</v>
      </c>
      <c r="H518" s="3" t="s">
        <v>2998</v>
      </c>
      <c r="I518" s="1" t="s">
        <v>21</v>
      </c>
      <c r="J518" s="1" t="s">
        <v>666</v>
      </c>
      <c r="K518">
        <v>-68.841612</v>
      </c>
      <c r="L518">
        <v>-32.885821</v>
      </c>
      <c r="N518" s="1" t="s">
        <v>4130</v>
      </c>
      <c r="O518">
        <f t="shared" si="1"/>
        <v>-32.885821</v>
      </c>
      <c r="P518">
        <f>IFERROR(__xludf.DUMMYFUNCTION("""COMPUTED_VALUE"""),-68.841612)</f>
        <v>-68.841612</v>
      </c>
      <c r="Q518" t="str">
        <f>IFERROR(__xludf.DUMMYFUNCTION("""COMPUTED_VALUE"""),"""Av, Las Heras 264")</f>
        <v>"Av, Las Heras 264</v>
      </c>
      <c r="R518" t="str">
        <f>IFERROR(__xludf.DUMMYFUNCTION("""COMPUTED_VALUE""")," Mendoza ")</f>
        <v> Mendoza </v>
      </c>
      <c r="S518" t="str">
        <f>IFERROR(__xludf.DUMMYFUNCTION("""COMPUTED_VALUE""")," Argentina""")</f>
        <v> Argentina"</v>
      </c>
      <c r="T518" t="str">
        <f>IFERROR(__xludf.DUMMYFUNCTION("""COMPUTED_VALUE"""),"""Avenida Las Heras 264")</f>
        <v>"Avenida Las Heras 264</v>
      </c>
      <c r="U518" t="str">
        <f>IFERROR(__xludf.DUMMYFUNCTION("""COMPUTED_VALUE""")," Ciudad de Mendoza")</f>
        <v> Ciudad de Mendoza</v>
      </c>
      <c r="V518" t="str">
        <f>IFERROR(__xludf.DUMMYFUNCTION("""COMPUTED_VALUE""")," Sección 1ª Parque Central")</f>
        <v> Sección 1ª Parque Central</v>
      </c>
      <c r="W518" t="str">
        <f>IFERROR(__xludf.DUMMYFUNCTION("""COMPUTED_VALUE""")," Mendoza")</f>
        <v> Mendoza</v>
      </c>
      <c r="X518" t="str">
        <f>IFERROR(__xludf.DUMMYFUNCTION("""COMPUTED_VALUE""")," AR""")</f>
        <v> AR"</v>
      </c>
    </row>
    <row r="519">
      <c r="A519" s="1">
        <v>935.0</v>
      </c>
      <c r="B519" s="1" t="s">
        <v>55</v>
      </c>
      <c r="C519" s="1">
        <v>15.0</v>
      </c>
      <c r="D519" s="1" t="s">
        <v>4141</v>
      </c>
      <c r="E519" s="1" t="s">
        <v>1104</v>
      </c>
      <c r="F519" s="1" t="s">
        <v>3970</v>
      </c>
      <c r="G519" s="1" t="s">
        <v>4142</v>
      </c>
      <c r="H519" s="3" t="s">
        <v>3318</v>
      </c>
      <c r="I519" s="1" t="s">
        <v>21</v>
      </c>
      <c r="J519" s="1" t="s">
        <v>4143</v>
      </c>
      <c r="K519">
        <v>-68.841929</v>
      </c>
      <c r="L519">
        <v>-32.885662</v>
      </c>
      <c r="N519" s="1" t="s">
        <v>4145</v>
      </c>
      <c r="O519">
        <f t="shared" si="1"/>
        <v>-32.885662</v>
      </c>
      <c r="P519">
        <f>IFERROR(__xludf.DUMMYFUNCTION("""COMPUTED_VALUE"""),-68.841929)</f>
        <v>-68.841929</v>
      </c>
      <c r="Q519" t="str">
        <f>IFERROR(__xludf.DUMMYFUNCTION("""COMPUTED_VALUE"""),"""Av, Las Heras 295")</f>
        <v>"Av, Las Heras 295</v>
      </c>
      <c r="R519" t="str">
        <f>IFERROR(__xludf.DUMMYFUNCTION("""COMPUTED_VALUE""")," Mendoza ")</f>
        <v> Mendoza </v>
      </c>
      <c r="S519" t="str">
        <f>IFERROR(__xludf.DUMMYFUNCTION("""COMPUTED_VALUE""")," Argentina""")</f>
        <v> Argentina"</v>
      </c>
      <c r="T519" t="str">
        <f>IFERROR(__xludf.DUMMYFUNCTION("""COMPUTED_VALUE"""),"""Avenida Las Heras 295")</f>
        <v>"Avenida Las Heras 295</v>
      </c>
      <c r="U519" t="str">
        <f>IFERROR(__xludf.DUMMYFUNCTION("""COMPUTED_VALUE""")," Ciudad de Mendoza")</f>
        <v> Ciudad de Mendoza</v>
      </c>
      <c r="V519" t="str">
        <f>IFERROR(__xludf.DUMMYFUNCTION("""COMPUTED_VALUE""")," Sección 1ª Parque Central")</f>
        <v> Sección 1ª Parque Central</v>
      </c>
      <c r="W519" t="str">
        <f>IFERROR(__xludf.DUMMYFUNCTION("""COMPUTED_VALUE""")," Mendoza")</f>
        <v> Mendoza</v>
      </c>
      <c r="X519" t="str">
        <f>IFERROR(__xludf.DUMMYFUNCTION("""COMPUTED_VALUE""")," AR""")</f>
        <v> AR"</v>
      </c>
    </row>
    <row r="520">
      <c r="A520" s="1">
        <v>947.0</v>
      </c>
      <c r="B520" s="1" t="s">
        <v>55</v>
      </c>
      <c r="C520" s="1">
        <v>9.0</v>
      </c>
      <c r="D520" s="1">
        <v>0.0</v>
      </c>
      <c r="E520" s="1" t="s">
        <v>1104</v>
      </c>
      <c r="F520" s="1" t="s">
        <v>3970</v>
      </c>
      <c r="G520" s="1" t="s">
        <v>4158</v>
      </c>
      <c r="H520" s="3" t="s">
        <v>3292</v>
      </c>
      <c r="I520" s="1" t="s">
        <v>21</v>
      </c>
      <c r="J520" s="1" t="s">
        <v>4161</v>
      </c>
      <c r="K520">
        <v>-68.840742</v>
      </c>
      <c r="L520">
        <v>-32.88598</v>
      </c>
      <c r="N520" s="1" t="s">
        <v>4162</v>
      </c>
      <c r="O520">
        <f t="shared" si="1"/>
        <v>-32.88598</v>
      </c>
      <c r="P520">
        <f>IFERROR(__xludf.DUMMYFUNCTION("""COMPUTED_VALUE"""),-68.840742)</f>
        <v>-68.840742</v>
      </c>
      <c r="Q520" t="str">
        <f>IFERROR(__xludf.DUMMYFUNCTION("""COMPUTED_VALUE"""),"""Av, Las Heras 196")</f>
        <v>"Av, Las Heras 196</v>
      </c>
      <c r="R520" t="str">
        <f>IFERROR(__xludf.DUMMYFUNCTION("""COMPUTED_VALUE""")," Mendoza ")</f>
        <v> Mendoza </v>
      </c>
      <c r="S520" t="str">
        <f>IFERROR(__xludf.DUMMYFUNCTION("""COMPUTED_VALUE""")," Argentina""")</f>
        <v> Argentina"</v>
      </c>
      <c r="T520" t="str">
        <f>IFERROR(__xludf.DUMMYFUNCTION("""COMPUTED_VALUE"""),"""Avenida Las Heras 196")</f>
        <v>"Avenida Las Heras 196</v>
      </c>
      <c r="U520" t="str">
        <f>IFERROR(__xludf.DUMMYFUNCTION("""COMPUTED_VALUE""")," Ciudad de Mendoza")</f>
        <v> Ciudad de Mendoza</v>
      </c>
      <c r="V520" t="str">
        <f>IFERROR(__xludf.DUMMYFUNCTION("""COMPUTED_VALUE""")," Sección 1ª Parque Central")</f>
        <v> Sección 1ª Parque Central</v>
      </c>
      <c r="W520" t="str">
        <f>IFERROR(__xludf.DUMMYFUNCTION("""COMPUTED_VALUE""")," Mendoza")</f>
        <v> Mendoza</v>
      </c>
      <c r="X520" t="str">
        <f>IFERROR(__xludf.DUMMYFUNCTION("""COMPUTED_VALUE""")," AR""")</f>
        <v> AR"</v>
      </c>
    </row>
    <row r="521">
      <c r="A521" s="1">
        <v>1245.0</v>
      </c>
      <c r="B521" s="1" t="s">
        <v>227</v>
      </c>
      <c r="C521" s="1" t="s">
        <v>1103</v>
      </c>
      <c r="D521" s="1" t="s">
        <v>1103</v>
      </c>
      <c r="E521" s="1" t="s">
        <v>1104</v>
      </c>
      <c r="F521" s="1" t="s">
        <v>3970</v>
      </c>
      <c r="G521" s="1" t="s">
        <v>4170</v>
      </c>
      <c r="H521" s="1" t="s">
        <v>1103</v>
      </c>
      <c r="I521" s="1" t="s">
        <v>21</v>
      </c>
      <c r="J521" s="1" t="s">
        <v>4171</v>
      </c>
      <c r="K521">
        <v>-67.688023</v>
      </c>
      <c r="L521">
        <v>-34.979176</v>
      </c>
      <c r="N521" s="1" t="s">
        <v>4174</v>
      </c>
      <c r="O521">
        <f t="shared" si="1"/>
        <v>-34.979176</v>
      </c>
      <c r="P521">
        <f>IFERROR(__xludf.DUMMYFUNCTION("""COMPUTED_VALUE"""),-67.688023)</f>
        <v>-67.688023</v>
      </c>
      <c r="Q521" t="str">
        <f>IFERROR(__xludf.DUMMYFUNCTION("""COMPUTED_VALUE"""),"""Godoy Cruz 26")</f>
        <v>"Godoy Cruz 26</v>
      </c>
      <c r="R521" t="str">
        <f>IFERROR(__xludf.DUMMYFUNCTION("""COMPUTED_VALUE""")," Mendoza ")</f>
        <v> Mendoza </v>
      </c>
      <c r="S521" t="str">
        <f>IFERROR(__xludf.DUMMYFUNCTION("""COMPUTED_VALUE""")," Argentina""")</f>
        <v> Argentina"</v>
      </c>
      <c r="T521" t="str">
        <f>IFERROR(__xludf.DUMMYFUNCTION("""COMPUTED_VALUE"""),"""Godoy Cruz")</f>
        <v>"Godoy Cruz</v>
      </c>
      <c r="U521" t="str">
        <f>IFERROR(__xludf.DUMMYFUNCTION("""COMPUTED_VALUE""")," General Alvear")</f>
        <v> General Alvear</v>
      </c>
      <c r="V521" t="str">
        <f>IFERROR(__xludf.DUMMYFUNCTION("""COMPUTED_VALUE""")," Distrito Ciudad de General Alvear")</f>
        <v> Distrito Ciudad de General Alvear</v>
      </c>
      <c r="W521" t="str">
        <f>IFERROR(__xludf.DUMMYFUNCTION("""COMPUTED_VALUE""")," Mendoza")</f>
        <v> Mendoza</v>
      </c>
      <c r="X521" t="str">
        <f>IFERROR(__xludf.DUMMYFUNCTION("""COMPUTED_VALUE""")," AR""")</f>
        <v> AR"</v>
      </c>
    </row>
    <row r="522">
      <c r="A522" s="1">
        <v>1373.0</v>
      </c>
      <c r="D522" s="1" t="s">
        <v>4180</v>
      </c>
      <c r="E522" s="1" t="s">
        <v>1104</v>
      </c>
      <c r="F522" s="1" t="s">
        <v>3970</v>
      </c>
      <c r="G522" s="1" t="s">
        <v>4182</v>
      </c>
      <c r="I522" s="1" t="s">
        <v>21</v>
      </c>
      <c r="J522" s="1" t="s">
        <v>4183</v>
      </c>
      <c r="K522">
        <v>-100.445882</v>
      </c>
      <c r="L522">
        <v>39.78373</v>
      </c>
      <c r="N522" s="1" t="s">
        <v>4185</v>
      </c>
      <c r="O522">
        <f t="shared" si="1"/>
        <v>39.78373</v>
      </c>
      <c r="P522">
        <f>IFERROR(__xludf.DUMMYFUNCTION("""COMPUTED_VALUE"""),-100.445882)</f>
        <v>-100.445882</v>
      </c>
      <c r="Q522" t="str">
        <f>IFERROR(__xludf.DUMMYFUNCTION("""COMPUTED_VALUE"""),"""San Martín 1167 local 3")</f>
        <v>"San Martín 1167 local 3</v>
      </c>
      <c r="R522" t="str">
        <f>IFERROR(__xludf.DUMMYFUNCTION("""COMPUTED_VALUE""")," Mendoza ")</f>
        <v> Mendoza </v>
      </c>
      <c r="S522" t="str">
        <f>IFERROR(__xludf.DUMMYFUNCTION("""COMPUTED_VALUE""")," Argentina""")</f>
        <v> Argentina"</v>
      </c>
      <c r="T522" t="str">
        <f>IFERROR(__xludf.DUMMYFUNCTION("""COMPUTED_VALUE"""),"US")</f>
        <v>US</v>
      </c>
    </row>
    <row r="523">
      <c r="A523" s="1">
        <v>1374.0</v>
      </c>
      <c r="D523" s="1" t="s">
        <v>4193</v>
      </c>
      <c r="E523" s="1" t="s">
        <v>1104</v>
      </c>
      <c r="F523" s="1" t="s">
        <v>3970</v>
      </c>
      <c r="G523" s="1" t="s">
        <v>4194</v>
      </c>
      <c r="I523" s="1" t="s">
        <v>21</v>
      </c>
      <c r="J523" s="1" t="s">
        <v>4196</v>
      </c>
      <c r="K523">
        <v>-100.445882</v>
      </c>
      <c r="L523">
        <v>39.78373</v>
      </c>
      <c r="N523" s="1" t="s">
        <v>4199</v>
      </c>
      <c r="O523">
        <f t="shared" si="1"/>
        <v>39.78373</v>
      </c>
      <c r="P523">
        <f>IFERROR(__xludf.DUMMYFUNCTION("""COMPUTED_VALUE"""),-100.445882)</f>
        <v>-100.445882</v>
      </c>
      <c r="Q523" t="str">
        <f>IFERROR(__xludf.DUMMYFUNCTION("""COMPUTED_VALUE"""),"""San Martín 1067 local 6")</f>
        <v>"San Martín 1067 local 6</v>
      </c>
      <c r="R523" t="str">
        <f>IFERROR(__xludf.DUMMYFUNCTION("""COMPUTED_VALUE""")," Mendoza ")</f>
        <v> Mendoza </v>
      </c>
      <c r="S523" t="str">
        <f>IFERROR(__xludf.DUMMYFUNCTION("""COMPUTED_VALUE""")," Argentina""")</f>
        <v> Argentina"</v>
      </c>
      <c r="T523" t="str">
        <f>IFERROR(__xludf.DUMMYFUNCTION("""COMPUTED_VALUE"""),"US")</f>
        <v>US</v>
      </c>
    </row>
    <row r="524">
      <c r="A524" s="1">
        <v>1382.0</v>
      </c>
      <c r="D524" s="1" t="s">
        <v>4208</v>
      </c>
      <c r="E524" s="1" t="s">
        <v>1104</v>
      </c>
      <c r="F524" s="1" t="s">
        <v>3970</v>
      </c>
      <c r="G524" s="1" t="s">
        <v>4209</v>
      </c>
      <c r="I524" s="1" t="s">
        <v>21</v>
      </c>
      <c r="J524" s="1" t="s">
        <v>4210</v>
      </c>
      <c r="K524">
        <v>-100.445882</v>
      </c>
      <c r="L524">
        <v>39.78373</v>
      </c>
      <c r="N524" s="1" t="s">
        <v>4212</v>
      </c>
      <c r="O524">
        <f t="shared" si="1"/>
        <v>39.78373</v>
      </c>
      <c r="P524">
        <f>IFERROR(__xludf.DUMMYFUNCTION("""COMPUTED_VALUE"""),-100.445882)</f>
        <v>-100.445882</v>
      </c>
      <c r="Q524" t="str">
        <f>IFERROR(__xludf.DUMMYFUNCTION("""COMPUTED_VALUE"""),"""San Martín 1167 local s42")</f>
        <v>"San Martín 1167 local s42</v>
      </c>
      <c r="R524" t="str">
        <f>IFERROR(__xludf.DUMMYFUNCTION("""COMPUTED_VALUE""")," Mendoza ")</f>
        <v> Mendoza </v>
      </c>
      <c r="S524" t="str">
        <f>IFERROR(__xludf.DUMMYFUNCTION("""COMPUTED_VALUE""")," Argentina""")</f>
        <v> Argentina"</v>
      </c>
      <c r="T524" t="str">
        <f>IFERROR(__xludf.DUMMYFUNCTION("""COMPUTED_VALUE"""),"US")</f>
        <v>US</v>
      </c>
    </row>
    <row r="525">
      <c r="A525" s="1">
        <v>1387.0</v>
      </c>
      <c r="D525" s="1" t="s">
        <v>4222</v>
      </c>
      <c r="E525" s="1" t="s">
        <v>1104</v>
      </c>
      <c r="F525" s="1" t="s">
        <v>3970</v>
      </c>
      <c r="G525" s="1" t="s">
        <v>4223</v>
      </c>
      <c r="I525" s="1" t="s">
        <v>21</v>
      </c>
      <c r="J525" s="1" t="s">
        <v>4224</v>
      </c>
      <c r="K525">
        <v>-100.445882</v>
      </c>
      <c r="L525">
        <v>39.78373</v>
      </c>
      <c r="N525" s="1" t="s">
        <v>4225</v>
      </c>
      <c r="O525">
        <f t="shared" si="1"/>
        <v>39.78373</v>
      </c>
      <c r="P525">
        <f>IFERROR(__xludf.DUMMYFUNCTION("""COMPUTED_VALUE"""),-100.445882)</f>
        <v>-100.445882</v>
      </c>
      <c r="Q525" t="str">
        <f>IFERROR(__xludf.DUMMYFUNCTION("""COMPUTED_VALUE"""),"""San Martín 1167 local s60")</f>
        <v>"San Martín 1167 local s60</v>
      </c>
      <c r="R525" t="str">
        <f>IFERROR(__xludf.DUMMYFUNCTION("""COMPUTED_VALUE""")," Mendoza ")</f>
        <v> Mendoza </v>
      </c>
      <c r="S525" t="str">
        <f>IFERROR(__xludf.DUMMYFUNCTION("""COMPUTED_VALUE""")," Argentina""")</f>
        <v> Argentina"</v>
      </c>
      <c r="T525" t="str">
        <f>IFERROR(__xludf.DUMMYFUNCTION("""COMPUTED_VALUE"""),"US")</f>
        <v>US</v>
      </c>
    </row>
    <row r="526">
      <c r="A526" s="1">
        <v>1388.0</v>
      </c>
      <c r="D526" s="1" t="s">
        <v>4234</v>
      </c>
      <c r="E526" s="1" t="s">
        <v>1104</v>
      </c>
      <c r="F526" s="1" t="s">
        <v>3970</v>
      </c>
      <c r="G526" s="1" t="s">
        <v>4236</v>
      </c>
      <c r="I526" s="1" t="s">
        <v>21</v>
      </c>
      <c r="J526" s="1" t="s">
        <v>4237</v>
      </c>
      <c r="K526">
        <v>-100.445882</v>
      </c>
      <c r="L526">
        <v>39.78373</v>
      </c>
      <c r="N526" s="1" t="s">
        <v>4239</v>
      </c>
      <c r="O526">
        <f t="shared" si="1"/>
        <v>39.78373</v>
      </c>
      <c r="P526">
        <f>IFERROR(__xludf.DUMMYFUNCTION("""COMPUTED_VALUE"""),-100.445882)</f>
        <v>-100.445882</v>
      </c>
      <c r="Q526" t="str">
        <f>IFERROR(__xludf.DUMMYFUNCTION("""COMPUTED_VALUE"""),"""San Martín 1167 local s68")</f>
        <v>"San Martín 1167 local s68</v>
      </c>
      <c r="R526" t="str">
        <f>IFERROR(__xludf.DUMMYFUNCTION("""COMPUTED_VALUE""")," Mendoza ")</f>
        <v> Mendoza </v>
      </c>
      <c r="S526" t="str">
        <f>IFERROR(__xludf.DUMMYFUNCTION("""COMPUTED_VALUE""")," Argentina""")</f>
        <v> Argentina"</v>
      </c>
      <c r="T526" t="str">
        <f>IFERROR(__xludf.DUMMYFUNCTION("""COMPUTED_VALUE"""),"US")</f>
        <v>US</v>
      </c>
    </row>
    <row r="527">
      <c r="A527" s="1">
        <v>1389.0</v>
      </c>
      <c r="D527" s="1" t="s">
        <v>4222</v>
      </c>
      <c r="E527" s="1" t="s">
        <v>1104</v>
      </c>
      <c r="F527" s="1" t="s">
        <v>3970</v>
      </c>
      <c r="G527" s="1" t="s">
        <v>4246</v>
      </c>
      <c r="I527" s="1" t="s">
        <v>21</v>
      </c>
      <c r="J527" s="1" t="s">
        <v>4248</v>
      </c>
      <c r="K527">
        <v>-100.445882</v>
      </c>
      <c r="L527">
        <v>39.78373</v>
      </c>
      <c r="N527" s="1" t="s">
        <v>4250</v>
      </c>
      <c r="O527">
        <f t="shared" si="1"/>
        <v>39.78373</v>
      </c>
      <c r="P527">
        <f>IFERROR(__xludf.DUMMYFUNCTION("""COMPUTED_VALUE"""),-100.445882)</f>
        <v>-100.445882</v>
      </c>
      <c r="Q527" t="str">
        <f>IFERROR(__xludf.DUMMYFUNCTION("""COMPUTED_VALUE"""),"""San Martín 1167 local s72")</f>
        <v>"San Martín 1167 local s72</v>
      </c>
      <c r="R527" t="str">
        <f>IFERROR(__xludf.DUMMYFUNCTION("""COMPUTED_VALUE""")," Mendoza ")</f>
        <v> Mendoza </v>
      </c>
      <c r="S527" t="str">
        <f>IFERROR(__xludf.DUMMYFUNCTION("""COMPUTED_VALUE""")," Argentina""")</f>
        <v> Argentina"</v>
      </c>
      <c r="T527" t="str">
        <f>IFERROR(__xludf.DUMMYFUNCTION("""COMPUTED_VALUE"""),"US")</f>
        <v>US</v>
      </c>
    </row>
    <row r="528">
      <c r="A528" s="1">
        <v>1391.0</v>
      </c>
      <c r="D528" s="1" t="s">
        <v>4256</v>
      </c>
      <c r="E528" s="1" t="s">
        <v>1104</v>
      </c>
      <c r="F528" s="1" t="s">
        <v>3970</v>
      </c>
      <c r="G528" s="1" t="s">
        <v>4257</v>
      </c>
      <c r="I528" s="1" t="s">
        <v>21</v>
      </c>
      <c r="J528" s="1" t="s">
        <v>4259</v>
      </c>
      <c r="K528">
        <v>-100.445882</v>
      </c>
      <c r="L528">
        <v>39.78373</v>
      </c>
      <c r="N528" s="1" t="s">
        <v>4260</v>
      </c>
      <c r="O528">
        <f t="shared" si="1"/>
        <v>39.78373</v>
      </c>
      <c r="P528">
        <f>IFERROR(__xludf.DUMMYFUNCTION("""COMPUTED_VALUE"""),-100.445882)</f>
        <v>-100.445882</v>
      </c>
      <c r="Q528" t="str">
        <f>IFERROR(__xludf.DUMMYFUNCTION("""COMPUTED_VALUE"""),"""San Martín 1167 local s84")</f>
        <v>"San Martín 1167 local s84</v>
      </c>
      <c r="R528" t="str">
        <f>IFERROR(__xludf.DUMMYFUNCTION("""COMPUTED_VALUE""")," Mendoza ")</f>
        <v> Mendoza </v>
      </c>
      <c r="S528" t="str">
        <f>IFERROR(__xludf.DUMMYFUNCTION("""COMPUTED_VALUE""")," Argentina""")</f>
        <v> Argentina"</v>
      </c>
      <c r="T528" t="str">
        <f>IFERROR(__xludf.DUMMYFUNCTION("""COMPUTED_VALUE"""),"US")</f>
        <v>US</v>
      </c>
    </row>
    <row r="529">
      <c r="A529" s="1">
        <v>1397.0</v>
      </c>
      <c r="D529" s="1" t="s">
        <v>4274</v>
      </c>
      <c r="E529" s="1" t="s">
        <v>1104</v>
      </c>
      <c r="F529" s="1" t="s">
        <v>3970</v>
      </c>
      <c r="G529" s="1" t="s">
        <v>4277</v>
      </c>
      <c r="I529" s="1" t="s">
        <v>21</v>
      </c>
      <c r="J529" s="1" t="s">
        <v>4279</v>
      </c>
      <c r="K529">
        <v>-100.445882</v>
      </c>
      <c r="L529">
        <v>39.78373</v>
      </c>
      <c r="N529" s="1" t="s">
        <v>4280</v>
      </c>
      <c r="O529">
        <f t="shared" si="1"/>
        <v>39.78373</v>
      </c>
      <c r="P529">
        <f>IFERROR(__xludf.DUMMYFUNCTION("""COMPUTED_VALUE"""),-100.445882)</f>
        <v>-100.445882</v>
      </c>
      <c r="Q529" t="str">
        <f>IFERROR(__xludf.DUMMYFUNCTION("""COMPUTED_VALUE"""),"""San Martín 1167 local s112")</f>
        <v>"San Martín 1167 local s112</v>
      </c>
      <c r="R529" t="str">
        <f>IFERROR(__xludf.DUMMYFUNCTION("""COMPUTED_VALUE""")," Mendoza ")</f>
        <v> Mendoza </v>
      </c>
      <c r="S529" t="str">
        <f>IFERROR(__xludf.DUMMYFUNCTION("""COMPUTED_VALUE""")," Argentina""")</f>
        <v> Argentina"</v>
      </c>
      <c r="T529" t="str">
        <f>IFERROR(__xludf.DUMMYFUNCTION("""COMPUTED_VALUE"""),"US")</f>
        <v>US</v>
      </c>
    </row>
    <row r="530">
      <c r="A530" s="1">
        <v>1398.0</v>
      </c>
      <c r="D530" s="1" t="s">
        <v>4286</v>
      </c>
      <c r="E530" s="1" t="s">
        <v>1104</v>
      </c>
      <c r="F530" s="1" t="s">
        <v>3970</v>
      </c>
      <c r="G530" s="1" t="s">
        <v>4288</v>
      </c>
      <c r="I530" s="1" t="s">
        <v>21</v>
      </c>
      <c r="J530" s="1" t="s">
        <v>4289</v>
      </c>
      <c r="K530">
        <v>-100.445882</v>
      </c>
      <c r="L530">
        <v>39.78373</v>
      </c>
      <c r="N530" s="1" t="s">
        <v>4290</v>
      </c>
      <c r="O530">
        <f t="shared" si="1"/>
        <v>39.78373</v>
      </c>
      <c r="P530">
        <f>IFERROR(__xludf.DUMMYFUNCTION("""COMPUTED_VALUE"""),-100.445882)</f>
        <v>-100.445882</v>
      </c>
      <c r="Q530" t="str">
        <f>IFERROR(__xludf.DUMMYFUNCTION("""COMPUTED_VALUE"""),"""San Martín 1167 local s120")</f>
        <v>"San Martín 1167 local s120</v>
      </c>
      <c r="R530" t="str">
        <f>IFERROR(__xludf.DUMMYFUNCTION("""COMPUTED_VALUE""")," Mendoza ")</f>
        <v> Mendoza </v>
      </c>
      <c r="S530" t="str">
        <f>IFERROR(__xludf.DUMMYFUNCTION("""COMPUTED_VALUE""")," Argentina""")</f>
        <v> Argentina"</v>
      </c>
      <c r="T530" t="str">
        <f>IFERROR(__xludf.DUMMYFUNCTION("""COMPUTED_VALUE"""),"US")</f>
        <v>US</v>
      </c>
    </row>
    <row r="531">
      <c r="A531" s="1">
        <v>1400.0</v>
      </c>
      <c r="D531" s="1" t="s">
        <v>4299</v>
      </c>
      <c r="E531" s="1" t="s">
        <v>1104</v>
      </c>
      <c r="F531" s="1" t="s">
        <v>3970</v>
      </c>
      <c r="G531" s="1" t="s">
        <v>4300</v>
      </c>
      <c r="I531" s="1" t="s">
        <v>21</v>
      </c>
      <c r="J531" s="1" t="s">
        <v>4301</v>
      </c>
      <c r="K531">
        <v>-100.445882</v>
      </c>
      <c r="L531">
        <v>39.78373</v>
      </c>
      <c r="N531" s="1" t="s">
        <v>4302</v>
      </c>
      <c r="O531">
        <f t="shared" si="1"/>
        <v>39.78373</v>
      </c>
      <c r="P531">
        <f>IFERROR(__xludf.DUMMYFUNCTION("""COMPUTED_VALUE"""),-100.445882)</f>
        <v>-100.445882</v>
      </c>
      <c r="Q531" t="str">
        <f>IFERROR(__xludf.DUMMYFUNCTION("""COMPUTED_VALUE"""),"""San Martín 1167 local s128")</f>
        <v>"San Martín 1167 local s128</v>
      </c>
      <c r="R531" t="str">
        <f>IFERROR(__xludf.DUMMYFUNCTION("""COMPUTED_VALUE""")," Mendoza ")</f>
        <v> Mendoza </v>
      </c>
      <c r="S531" t="str">
        <f>IFERROR(__xludf.DUMMYFUNCTION("""COMPUTED_VALUE""")," Argentina""")</f>
        <v> Argentina"</v>
      </c>
      <c r="T531" t="str">
        <f>IFERROR(__xludf.DUMMYFUNCTION("""COMPUTED_VALUE"""),"US")</f>
        <v>US</v>
      </c>
    </row>
    <row r="532">
      <c r="A532" s="1">
        <v>1409.0</v>
      </c>
      <c r="D532" s="1" t="s">
        <v>4309</v>
      </c>
      <c r="E532" s="1" t="s">
        <v>1104</v>
      </c>
      <c r="F532" s="1" t="s">
        <v>3970</v>
      </c>
      <c r="G532" s="1" t="s">
        <v>4310</v>
      </c>
      <c r="I532" s="1" t="s">
        <v>21</v>
      </c>
      <c r="J532" s="1" t="s">
        <v>4312</v>
      </c>
      <c r="K532">
        <v>-100.445882</v>
      </c>
      <c r="L532">
        <v>39.78373</v>
      </c>
      <c r="N532" s="1" t="s">
        <v>4314</v>
      </c>
      <c r="O532">
        <f t="shared" si="1"/>
        <v>39.78373</v>
      </c>
      <c r="P532">
        <f>IFERROR(__xludf.DUMMYFUNCTION("""COMPUTED_VALUE"""),-100.445882)</f>
        <v>-100.445882</v>
      </c>
      <c r="Q532" t="str">
        <f>IFERROR(__xludf.DUMMYFUNCTION("""COMPUTED_VALUE"""),"""San Martín 1167 local s53")</f>
        <v>"San Martín 1167 local s53</v>
      </c>
      <c r="R532" t="str">
        <f>IFERROR(__xludf.DUMMYFUNCTION("""COMPUTED_VALUE""")," Mendoza ")</f>
        <v> Mendoza </v>
      </c>
      <c r="S532" t="str">
        <f>IFERROR(__xludf.DUMMYFUNCTION("""COMPUTED_VALUE""")," Argentina""")</f>
        <v> Argentina"</v>
      </c>
      <c r="T532" t="str">
        <f>IFERROR(__xludf.DUMMYFUNCTION("""COMPUTED_VALUE"""),"US")</f>
        <v>US</v>
      </c>
    </row>
    <row r="533">
      <c r="A533" s="1">
        <v>1414.0</v>
      </c>
      <c r="D533" s="1" t="s">
        <v>4321</v>
      </c>
      <c r="E533" s="1" t="s">
        <v>1104</v>
      </c>
      <c r="F533" s="1" t="s">
        <v>3970</v>
      </c>
      <c r="G533" s="1" t="s">
        <v>4323</v>
      </c>
      <c r="I533" s="1" t="s">
        <v>21</v>
      </c>
      <c r="J533" s="1" t="s">
        <v>4324</v>
      </c>
      <c r="K533">
        <v>-100.445882</v>
      </c>
      <c r="L533">
        <v>39.78373</v>
      </c>
      <c r="N533" s="1" t="s">
        <v>4325</v>
      </c>
      <c r="O533">
        <f t="shared" si="1"/>
        <v>39.78373</v>
      </c>
      <c r="P533">
        <f>IFERROR(__xludf.DUMMYFUNCTION("""COMPUTED_VALUE"""),-100.445882)</f>
        <v>-100.445882</v>
      </c>
      <c r="Q533" t="str">
        <f>IFERROR(__xludf.DUMMYFUNCTION("""COMPUTED_VALUE"""),"""San Martín 1167 local s35")</f>
        <v>"San Martín 1167 local s35</v>
      </c>
      <c r="R533" t="str">
        <f>IFERROR(__xludf.DUMMYFUNCTION("""COMPUTED_VALUE""")," Mendoza ")</f>
        <v> Mendoza </v>
      </c>
      <c r="S533" t="str">
        <f>IFERROR(__xludf.DUMMYFUNCTION("""COMPUTED_VALUE""")," Argentina""")</f>
        <v> Argentina"</v>
      </c>
      <c r="T533" t="str">
        <f>IFERROR(__xludf.DUMMYFUNCTION("""COMPUTED_VALUE"""),"US")</f>
        <v>US</v>
      </c>
    </row>
    <row r="534">
      <c r="A534" s="1">
        <v>1432.0</v>
      </c>
      <c r="D534" s="1" t="s">
        <v>4334</v>
      </c>
      <c r="E534" s="1" t="s">
        <v>1104</v>
      </c>
      <c r="F534" s="1" t="s">
        <v>3970</v>
      </c>
      <c r="G534" s="1" t="s">
        <v>4335</v>
      </c>
      <c r="I534" s="1" t="s">
        <v>21</v>
      </c>
      <c r="J534" s="1" t="s">
        <v>4336</v>
      </c>
      <c r="K534">
        <v>-100.445882</v>
      </c>
      <c r="L534">
        <v>39.78373</v>
      </c>
      <c r="N534" s="1" t="s">
        <v>4337</v>
      </c>
      <c r="O534">
        <f t="shared" si="1"/>
        <v>39.78373</v>
      </c>
      <c r="P534">
        <f>IFERROR(__xludf.DUMMYFUNCTION("""COMPUTED_VALUE"""),-100.445882)</f>
        <v>-100.445882</v>
      </c>
      <c r="Q534" t="str">
        <f>IFERROR(__xludf.DUMMYFUNCTION("""COMPUTED_VALUE"""),"""San Martín 1167 local s70m")</f>
        <v>"San Martín 1167 local s70m</v>
      </c>
      <c r="R534" t="str">
        <f>IFERROR(__xludf.DUMMYFUNCTION("""COMPUTED_VALUE""")," Mendoza ")</f>
        <v> Mendoza </v>
      </c>
      <c r="S534" t="str">
        <f>IFERROR(__xludf.DUMMYFUNCTION("""COMPUTED_VALUE""")," Argentina""")</f>
        <v> Argentina"</v>
      </c>
      <c r="T534" t="str">
        <f>IFERROR(__xludf.DUMMYFUNCTION("""COMPUTED_VALUE"""),"US")</f>
        <v>US</v>
      </c>
    </row>
    <row r="535">
      <c r="A535" s="1">
        <v>1460.0</v>
      </c>
      <c r="D535" s="1" t="s">
        <v>4345</v>
      </c>
      <c r="E535" s="1" t="s">
        <v>1104</v>
      </c>
      <c r="F535" s="1" t="s">
        <v>3970</v>
      </c>
      <c r="G535" s="1" t="s">
        <v>4346</v>
      </c>
      <c r="I535" s="1" t="s">
        <v>21</v>
      </c>
      <c r="J535" s="1" t="s">
        <v>4347</v>
      </c>
      <c r="K535">
        <v>-100.445882</v>
      </c>
      <c r="L535">
        <v>39.78373</v>
      </c>
      <c r="N535" s="1" t="s">
        <v>4349</v>
      </c>
      <c r="O535">
        <f t="shared" si="1"/>
        <v>39.78373</v>
      </c>
      <c r="P535">
        <f>IFERROR(__xludf.DUMMYFUNCTION("""COMPUTED_VALUE"""),-100.445882)</f>
        <v>-100.445882</v>
      </c>
      <c r="Q535" t="str">
        <f>IFERROR(__xludf.DUMMYFUNCTION("""COMPUTED_VALUE"""),"""San Martín 1245 local 43")</f>
        <v>"San Martín 1245 local 43</v>
      </c>
      <c r="R535" t="str">
        <f>IFERROR(__xludf.DUMMYFUNCTION("""COMPUTED_VALUE""")," Mendoza ")</f>
        <v> Mendoza </v>
      </c>
      <c r="S535" t="str">
        <f>IFERROR(__xludf.DUMMYFUNCTION("""COMPUTED_VALUE""")," Argentina""")</f>
        <v> Argentina"</v>
      </c>
      <c r="T535" t="str">
        <f>IFERROR(__xludf.DUMMYFUNCTION("""COMPUTED_VALUE"""),"US")</f>
        <v>US</v>
      </c>
    </row>
    <row r="536">
      <c r="A536" s="1">
        <v>1597.0</v>
      </c>
      <c r="D536" s="1" t="s">
        <v>4353</v>
      </c>
      <c r="E536" s="1" t="s">
        <v>1104</v>
      </c>
      <c r="F536" s="1" t="s">
        <v>3970</v>
      </c>
      <c r="G536" s="1" t="s">
        <v>4355</v>
      </c>
      <c r="I536" s="1" t="s">
        <v>21</v>
      </c>
      <c r="J536" s="1" t="s">
        <v>4357</v>
      </c>
      <c r="K536">
        <v>-100.445882</v>
      </c>
      <c r="L536">
        <v>39.78373</v>
      </c>
      <c r="N536" s="1" t="s">
        <v>4359</v>
      </c>
      <c r="O536">
        <f t="shared" si="1"/>
        <v>39.78373</v>
      </c>
      <c r="P536">
        <f>IFERROR(__xludf.DUMMYFUNCTION("""COMPUTED_VALUE"""),-100.445882)</f>
        <v>-100.445882</v>
      </c>
      <c r="Q536" t="str">
        <f>IFERROR(__xludf.DUMMYFUNCTION("""COMPUTED_VALUE"""),"""San Martín 1136 local 16")</f>
        <v>"San Martín 1136 local 16</v>
      </c>
      <c r="R536" t="str">
        <f>IFERROR(__xludf.DUMMYFUNCTION("""COMPUTED_VALUE""")," Mendoza ")</f>
        <v> Mendoza </v>
      </c>
      <c r="S536" t="str">
        <f>IFERROR(__xludf.DUMMYFUNCTION("""COMPUTED_VALUE""")," Argentina""")</f>
        <v> Argentina"</v>
      </c>
      <c r="T536" t="str">
        <f>IFERROR(__xludf.DUMMYFUNCTION("""COMPUTED_VALUE"""),"US")</f>
        <v>US</v>
      </c>
    </row>
    <row r="537">
      <c r="A537" s="1">
        <v>1626.0</v>
      </c>
      <c r="D537" s="1" t="s">
        <v>4369</v>
      </c>
      <c r="E537" s="1" t="s">
        <v>1104</v>
      </c>
      <c r="F537" s="1" t="s">
        <v>3970</v>
      </c>
      <c r="G537" s="1" t="s">
        <v>4370</v>
      </c>
      <c r="I537" s="1" t="s">
        <v>21</v>
      </c>
      <c r="J537" s="1" t="s">
        <v>4371</v>
      </c>
      <c r="K537">
        <v>-100.445882</v>
      </c>
      <c r="L537">
        <v>39.78373</v>
      </c>
      <c r="N537" s="1" t="s">
        <v>4372</v>
      </c>
      <c r="O537">
        <f t="shared" si="1"/>
        <v>39.78373</v>
      </c>
      <c r="P537">
        <f>IFERROR(__xludf.DUMMYFUNCTION("""COMPUTED_VALUE"""),-100.445882)</f>
        <v>-100.445882</v>
      </c>
      <c r="Q537" t="str">
        <f>IFERROR(__xludf.DUMMYFUNCTION("""COMPUTED_VALUE"""),"""San Martín 1027 local 37-38")</f>
        <v>"San Martín 1027 local 37-38</v>
      </c>
      <c r="R537" t="str">
        <f>IFERROR(__xludf.DUMMYFUNCTION("""COMPUTED_VALUE""")," Mendoza ")</f>
        <v> Mendoza </v>
      </c>
      <c r="S537" t="str">
        <f>IFERROR(__xludf.DUMMYFUNCTION("""COMPUTED_VALUE""")," Argentina""")</f>
        <v> Argentina"</v>
      </c>
      <c r="T537" t="str">
        <f>IFERROR(__xludf.DUMMYFUNCTION("""COMPUTED_VALUE"""),"US")</f>
        <v>US</v>
      </c>
    </row>
    <row r="538">
      <c r="A538" s="1">
        <v>1629.0</v>
      </c>
      <c r="D538" s="1" t="s">
        <v>4381</v>
      </c>
      <c r="E538" s="1" t="s">
        <v>1104</v>
      </c>
      <c r="F538" s="1" t="s">
        <v>3970</v>
      </c>
      <c r="G538" s="1" t="s">
        <v>4382</v>
      </c>
      <c r="I538" s="1" t="s">
        <v>21</v>
      </c>
      <c r="J538" s="1" t="s">
        <v>4383</v>
      </c>
      <c r="K538">
        <v>-100.445882</v>
      </c>
      <c r="L538">
        <v>39.78373</v>
      </c>
      <c r="N538" s="1" t="s">
        <v>4385</v>
      </c>
      <c r="O538">
        <f t="shared" si="1"/>
        <v>39.78373</v>
      </c>
      <c r="P538">
        <f>IFERROR(__xludf.DUMMYFUNCTION("""COMPUTED_VALUE"""),-100.445882)</f>
        <v>-100.445882</v>
      </c>
      <c r="Q538" t="str">
        <f>IFERROR(__xludf.DUMMYFUNCTION("""COMPUTED_VALUE"""),"""San Martín 1027 local 44")</f>
        <v>"San Martín 1027 local 44</v>
      </c>
      <c r="R538" t="str">
        <f>IFERROR(__xludf.DUMMYFUNCTION("""COMPUTED_VALUE""")," Mendoza ")</f>
        <v> Mendoza </v>
      </c>
      <c r="S538" t="str">
        <f>IFERROR(__xludf.DUMMYFUNCTION("""COMPUTED_VALUE""")," Argentina""")</f>
        <v> Argentina"</v>
      </c>
      <c r="T538" t="str">
        <f>IFERROR(__xludf.DUMMYFUNCTION("""COMPUTED_VALUE"""),"US")</f>
        <v>US</v>
      </c>
    </row>
    <row r="539">
      <c r="A539" s="1">
        <v>1637.0</v>
      </c>
      <c r="D539" s="1" t="s">
        <v>4398</v>
      </c>
      <c r="E539" s="1" t="s">
        <v>1104</v>
      </c>
      <c r="F539" s="1" t="s">
        <v>3970</v>
      </c>
      <c r="G539" s="1" t="s">
        <v>4399</v>
      </c>
      <c r="I539" s="1" t="s">
        <v>21</v>
      </c>
      <c r="J539" s="1" t="s">
        <v>4400</v>
      </c>
      <c r="K539">
        <v>-100.445882</v>
      </c>
      <c r="L539">
        <v>39.78373</v>
      </c>
      <c r="N539" s="1" t="s">
        <v>4401</v>
      </c>
      <c r="O539">
        <f t="shared" si="1"/>
        <v>39.78373</v>
      </c>
      <c r="P539">
        <f>IFERROR(__xludf.DUMMYFUNCTION("""COMPUTED_VALUE"""),-100.445882)</f>
        <v>-100.445882</v>
      </c>
      <c r="Q539" t="str">
        <f>IFERROR(__xludf.DUMMYFUNCTION("""COMPUTED_VALUE"""),"""San Martín 1027 local 56")</f>
        <v>"San Martín 1027 local 56</v>
      </c>
      <c r="R539" t="str">
        <f>IFERROR(__xludf.DUMMYFUNCTION("""COMPUTED_VALUE""")," Mendoza ")</f>
        <v> Mendoza </v>
      </c>
      <c r="S539" t="str">
        <f>IFERROR(__xludf.DUMMYFUNCTION("""COMPUTED_VALUE""")," Argentina""")</f>
        <v> Argentina"</v>
      </c>
      <c r="T539" t="str">
        <f>IFERROR(__xludf.DUMMYFUNCTION("""COMPUTED_VALUE"""),"US")</f>
        <v>US</v>
      </c>
    </row>
    <row r="540">
      <c r="A540" s="1">
        <v>1639.0</v>
      </c>
      <c r="D540" s="1" t="s">
        <v>4369</v>
      </c>
      <c r="E540" s="1" t="s">
        <v>1104</v>
      </c>
      <c r="F540" s="1" t="s">
        <v>3970</v>
      </c>
      <c r="G540" s="1" t="s">
        <v>4410</v>
      </c>
      <c r="I540" s="1" t="s">
        <v>21</v>
      </c>
      <c r="J540" s="1" t="s">
        <v>4412</v>
      </c>
      <c r="K540">
        <v>-100.445882</v>
      </c>
      <c r="L540">
        <v>39.78373</v>
      </c>
      <c r="N540" s="1" t="s">
        <v>4414</v>
      </c>
      <c r="O540">
        <f t="shared" si="1"/>
        <v>39.78373</v>
      </c>
      <c r="P540">
        <f>IFERROR(__xludf.DUMMYFUNCTION("""COMPUTED_VALUE"""),-100.445882)</f>
        <v>-100.445882</v>
      </c>
      <c r="Q540" t="str">
        <f>IFERROR(__xludf.DUMMYFUNCTION("""COMPUTED_VALUE"""),"""San Martín 1027 local 58")</f>
        <v>"San Martín 1027 local 58</v>
      </c>
      <c r="R540" t="str">
        <f>IFERROR(__xludf.DUMMYFUNCTION("""COMPUTED_VALUE""")," Mendoza ")</f>
        <v> Mendoza </v>
      </c>
      <c r="S540" t="str">
        <f>IFERROR(__xludf.DUMMYFUNCTION("""COMPUTED_VALUE""")," Argentina""")</f>
        <v> Argentina"</v>
      </c>
      <c r="T540" t="str">
        <f>IFERROR(__xludf.DUMMYFUNCTION("""COMPUTED_VALUE"""),"US")</f>
        <v>US</v>
      </c>
    </row>
    <row r="541">
      <c r="A541" s="1">
        <v>1641.0</v>
      </c>
      <c r="D541" s="1" t="s">
        <v>4425</v>
      </c>
      <c r="E541" s="1" t="s">
        <v>1104</v>
      </c>
      <c r="F541" s="1" t="s">
        <v>3970</v>
      </c>
      <c r="G541" s="1" t="s">
        <v>4426</v>
      </c>
      <c r="I541" s="1" t="s">
        <v>21</v>
      </c>
      <c r="J541" s="1" t="s">
        <v>4427</v>
      </c>
      <c r="K541">
        <v>-100.445882</v>
      </c>
      <c r="L541">
        <v>39.78373</v>
      </c>
      <c r="N541" s="1" t="s">
        <v>4428</v>
      </c>
      <c r="O541">
        <f t="shared" si="1"/>
        <v>39.78373</v>
      </c>
      <c r="P541">
        <f>IFERROR(__xludf.DUMMYFUNCTION("""COMPUTED_VALUE"""),-100.445882)</f>
        <v>-100.445882</v>
      </c>
      <c r="Q541" t="str">
        <f>IFERROR(__xludf.DUMMYFUNCTION("""COMPUTED_VALUE"""),"""San Martín 1027 local 62")</f>
        <v>"San Martín 1027 local 62</v>
      </c>
      <c r="R541" t="str">
        <f>IFERROR(__xludf.DUMMYFUNCTION("""COMPUTED_VALUE""")," Mendoza ")</f>
        <v> Mendoza </v>
      </c>
      <c r="S541" t="str">
        <f>IFERROR(__xludf.DUMMYFUNCTION("""COMPUTED_VALUE""")," Argentina""")</f>
        <v> Argentina"</v>
      </c>
      <c r="T541" t="str">
        <f>IFERROR(__xludf.DUMMYFUNCTION("""COMPUTED_VALUE"""),"US")</f>
        <v>US</v>
      </c>
    </row>
    <row r="542">
      <c r="A542" s="1">
        <v>1642.0</v>
      </c>
      <c r="D542" s="1" t="s">
        <v>4436</v>
      </c>
      <c r="E542" s="1" t="s">
        <v>1104</v>
      </c>
      <c r="F542" s="1" t="s">
        <v>3970</v>
      </c>
      <c r="G542" s="1" t="s">
        <v>4437</v>
      </c>
      <c r="I542" s="1" t="s">
        <v>21</v>
      </c>
      <c r="J542" s="1" t="s">
        <v>4438</v>
      </c>
      <c r="K542">
        <v>-68.557455</v>
      </c>
      <c r="L542">
        <v>-33.052166</v>
      </c>
      <c r="N542" s="1" t="s">
        <v>4441</v>
      </c>
      <c r="O542">
        <f t="shared" si="1"/>
        <v>-33.052166</v>
      </c>
      <c r="P542">
        <f>IFERROR(__xludf.DUMMYFUNCTION("""COMPUTED_VALUE"""),-68.557455)</f>
        <v>-68.557455</v>
      </c>
      <c r="Q542" t="str">
        <f>IFERROR(__xludf.DUMMYFUNCTION("""COMPUTED_VALUE"""),"""San Martín 1027 local 63")</f>
        <v>"San Martín 1027 local 63</v>
      </c>
      <c r="R542" t="str">
        <f>IFERROR(__xludf.DUMMYFUNCTION("""COMPUTED_VALUE""")," Mendoza ")</f>
        <v> Mendoza </v>
      </c>
      <c r="S542" t="str">
        <f>IFERROR(__xludf.DUMMYFUNCTION("""COMPUTED_VALUE""")," Argentina""")</f>
        <v> Argentina"</v>
      </c>
      <c r="T542" t="str">
        <f>IFERROR(__xludf.DUMMYFUNCTION("""COMPUTED_VALUE"""),"""San Martín")</f>
        <v>"San Martín</v>
      </c>
      <c r="U542" t="str">
        <f>IFERROR(__xludf.DUMMYFUNCTION("""COMPUTED_VALUE""")," Distrito Palmira")</f>
        <v> Distrito Palmira</v>
      </c>
      <c r="V542" t="str">
        <f>IFERROR(__xludf.DUMMYFUNCTION("""COMPUTED_VALUE""")," Mendoza")</f>
        <v> Mendoza</v>
      </c>
      <c r="W542" t="str">
        <f>IFERROR(__xludf.DUMMYFUNCTION("""COMPUTED_VALUE""")," AR""")</f>
        <v> AR"</v>
      </c>
    </row>
    <row r="543">
      <c r="A543" s="1">
        <v>123.0</v>
      </c>
      <c r="B543" s="1" t="s">
        <v>29</v>
      </c>
      <c r="C543" s="1" t="s">
        <v>1103</v>
      </c>
      <c r="D543" s="1" t="s">
        <v>1103</v>
      </c>
      <c r="E543" s="1" t="s">
        <v>1104</v>
      </c>
      <c r="F543" s="1" t="s">
        <v>4453</v>
      </c>
      <c r="G543" s="3" t="s">
        <v>4454</v>
      </c>
      <c r="H543" s="1" t="s">
        <v>1103</v>
      </c>
      <c r="I543" s="1" t="s">
        <v>21</v>
      </c>
      <c r="J543" s="1" t="s">
        <v>4457</v>
      </c>
      <c r="K543">
        <v>-67.68561</v>
      </c>
      <c r="L543">
        <v>-34.972739</v>
      </c>
      <c r="N543" s="1" t="s">
        <v>4461</v>
      </c>
      <c r="O543">
        <f t="shared" si="1"/>
        <v>-34.972739</v>
      </c>
      <c r="P543">
        <f>IFERROR(__xludf.DUMMYFUNCTION("""COMPUTED_VALUE"""),-67.68561)</f>
        <v>-67.68561</v>
      </c>
      <c r="Q543" t="str">
        <f>IFERROR(__xludf.DUMMYFUNCTION("""COMPUTED_VALUE"""),"""9 de Julio 1130")</f>
        <v>"9 de Julio 1130</v>
      </c>
      <c r="R543" t="str">
        <f>IFERROR(__xludf.DUMMYFUNCTION("""COMPUTED_VALUE""")," Mendoza ")</f>
        <v> Mendoza </v>
      </c>
      <c r="S543" t="str">
        <f>IFERROR(__xludf.DUMMYFUNCTION("""COMPUTED_VALUE""")," Argentina""")</f>
        <v> Argentina"</v>
      </c>
      <c r="T543" t="str">
        <f>IFERROR(__xludf.DUMMYFUNCTION("""COMPUTED_VALUE"""),"""9 de Julio")</f>
        <v>"9 de Julio</v>
      </c>
      <c r="U543" t="str">
        <f>IFERROR(__xludf.DUMMYFUNCTION("""COMPUTED_VALUE""")," General Alvear")</f>
        <v> General Alvear</v>
      </c>
      <c r="V543" t="str">
        <f>IFERROR(__xludf.DUMMYFUNCTION("""COMPUTED_VALUE""")," Distrito Ciudad de General Alvear")</f>
        <v> Distrito Ciudad de General Alvear</v>
      </c>
      <c r="W543" t="str">
        <f>IFERROR(__xludf.DUMMYFUNCTION("""COMPUTED_VALUE""")," Mendoza")</f>
        <v> Mendoza</v>
      </c>
      <c r="X543" t="str">
        <f>IFERROR(__xludf.DUMMYFUNCTION("""COMPUTED_VALUE""")," AR""")</f>
        <v> AR"</v>
      </c>
    </row>
    <row r="544">
      <c r="A544" s="1">
        <v>266.0</v>
      </c>
      <c r="B544" s="1" t="s">
        <v>51</v>
      </c>
      <c r="C544" s="1" t="s">
        <v>1103</v>
      </c>
      <c r="D544" s="1" t="s">
        <v>1103</v>
      </c>
      <c r="E544" s="1" t="s">
        <v>1104</v>
      </c>
      <c r="F544" s="1" t="s">
        <v>4453</v>
      </c>
      <c r="G544" s="1" t="s">
        <v>2900</v>
      </c>
      <c r="H544" s="1" t="s">
        <v>1103</v>
      </c>
      <c r="I544" s="1" t="s">
        <v>21</v>
      </c>
      <c r="J544" s="1" t="s">
        <v>4473</v>
      </c>
      <c r="K544">
        <v>-100.445882</v>
      </c>
      <c r="L544">
        <v>39.78373</v>
      </c>
      <c r="N544" s="1" t="s">
        <v>4474</v>
      </c>
      <c r="O544">
        <f t="shared" si="1"/>
        <v>39.78373</v>
      </c>
      <c r="P544">
        <f>IFERROR(__xludf.DUMMYFUNCTION("""COMPUTED_VALUE"""),-100.445882)</f>
        <v>-100.445882</v>
      </c>
      <c r="Q544" t="str">
        <f>IFERROR(__xludf.DUMMYFUNCTION("""COMPUTED_VALUE"""),"""Peatonal Sarmiento 23")</f>
        <v>"Peatonal Sarmiento 23</v>
      </c>
      <c r="R544" t="str">
        <f>IFERROR(__xludf.DUMMYFUNCTION("""COMPUTED_VALUE""")," Mendoza ")</f>
        <v> Mendoza </v>
      </c>
      <c r="S544" t="str">
        <f>IFERROR(__xludf.DUMMYFUNCTION("""COMPUTED_VALUE""")," Argentina""")</f>
        <v> Argentina"</v>
      </c>
      <c r="T544" t="str">
        <f>IFERROR(__xludf.DUMMYFUNCTION("""COMPUTED_VALUE"""),"US")</f>
        <v>US</v>
      </c>
    </row>
    <row r="545">
      <c r="A545" s="1">
        <v>296.0</v>
      </c>
      <c r="B545" s="1" t="s">
        <v>51</v>
      </c>
      <c r="C545" s="1" t="s">
        <v>1103</v>
      </c>
      <c r="D545" s="1" t="s">
        <v>1103</v>
      </c>
      <c r="E545" s="1" t="s">
        <v>1104</v>
      </c>
      <c r="F545" s="1" t="s">
        <v>4453</v>
      </c>
      <c r="G545" s="1" t="s">
        <v>4485</v>
      </c>
      <c r="H545" s="1" t="s">
        <v>4485</v>
      </c>
      <c r="I545" s="1" t="s">
        <v>21</v>
      </c>
      <c r="J545" s="1" t="s">
        <v>4488</v>
      </c>
      <c r="K545">
        <v>-100.445882</v>
      </c>
      <c r="L545">
        <v>39.78373</v>
      </c>
      <c r="N545" s="1" t="s">
        <v>4491</v>
      </c>
      <c r="O545">
        <f t="shared" si="1"/>
        <v>39.78373</v>
      </c>
      <c r="P545">
        <f>IFERROR(__xludf.DUMMYFUNCTION("""COMPUTED_VALUE"""),-100.445882)</f>
        <v>-100.445882</v>
      </c>
      <c r="Q545" t="str">
        <f>IFERROR(__xludf.DUMMYFUNCTION("""COMPUTED_VALUE"""),"""Peatonal Sarmiento 235")</f>
        <v>"Peatonal Sarmiento 235</v>
      </c>
      <c r="R545" t="str">
        <f>IFERROR(__xludf.DUMMYFUNCTION("""COMPUTED_VALUE""")," Mendoza ")</f>
        <v> Mendoza </v>
      </c>
      <c r="S545" t="str">
        <f>IFERROR(__xludf.DUMMYFUNCTION("""COMPUTED_VALUE""")," Argentina""")</f>
        <v> Argentina"</v>
      </c>
      <c r="T545" t="str">
        <f>IFERROR(__xludf.DUMMYFUNCTION("""COMPUTED_VALUE"""),"US")</f>
        <v>US</v>
      </c>
    </row>
    <row r="546">
      <c r="A546" s="1">
        <v>311.0</v>
      </c>
      <c r="B546" s="1" t="s">
        <v>51</v>
      </c>
      <c r="C546" s="1" t="s">
        <v>1103</v>
      </c>
      <c r="D546" s="1" t="s">
        <v>1103</v>
      </c>
      <c r="E546" s="1" t="s">
        <v>1104</v>
      </c>
      <c r="F546" s="1" t="s">
        <v>4453</v>
      </c>
      <c r="G546" s="1" t="s">
        <v>4495</v>
      </c>
      <c r="H546" s="1" t="s">
        <v>1103</v>
      </c>
      <c r="I546" s="1" t="s">
        <v>21</v>
      </c>
      <c r="J546" s="1" t="s">
        <v>4496</v>
      </c>
      <c r="K546">
        <v>-68.841663</v>
      </c>
      <c r="L546">
        <v>-32.890305</v>
      </c>
      <c r="N546" s="1" t="s">
        <v>4497</v>
      </c>
      <c r="O546">
        <f t="shared" si="1"/>
        <v>-32.890305</v>
      </c>
      <c r="P546">
        <f>IFERROR(__xludf.DUMMYFUNCTION("""COMPUTED_VALUE"""),-68.841663)</f>
        <v>-68.841663</v>
      </c>
      <c r="Q546" t="str">
        <f>IFERROR(__xludf.DUMMYFUNCTION("""COMPUTED_VALUE"""),"""Peatonal Sarmiento 184")</f>
        <v>"Peatonal Sarmiento 184</v>
      </c>
      <c r="R546" t="str">
        <f>IFERROR(__xludf.DUMMYFUNCTION("""COMPUTED_VALUE""")," Mendoza ")</f>
        <v> Mendoza </v>
      </c>
      <c r="S546" t="str">
        <f>IFERROR(__xludf.DUMMYFUNCTION("""COMPUTED_VALUE""")," Argentina""")</f>
        <v> Argentina"</v>
      </c>
      <c r="T546" t="str">
        <f>IFERROR(__xludf.DUMMYFUNCTION("""COMPUTED_VALUE"""),"""Sarmiento 184")</f>
        <v>"Sarmiento 184</v>
      </c>
      <c r="U546" t="str">
        <f>IFERROR(__xludf.DUMMYFUNCTION("""COMPUTED_VALUE""")," Ciudad de Mendoza")</f>
        <v> Ciudad de Mendoza</v>
      </c>
      <c r="V546" t="str">
        <f>IFERROR(__xludf.DUMMYFUNCTION("""COMPUTED_VALUE""")," Sección 3ª Parque O'Higgins")</f>
        <v> Sección 3ª Parque O'Higgins</v>
      </c>
      <c r="W546" t="str">
        <f>IFERROR(__xludf.DUMMYFUNCTION("""COMPUTED_VALUE""")," Mendoza")</f>
        <v> Mendoza</v>
      </c>
      <c r="X546" t="str">
        <f>IFERROR(__xludf.DUMMYFUNCTION("""COMPUTED_VALUE""")," AR""")</f>
        <v> AR"</v>
      </c>
    </row>
    <row r="547">
      <c r="A547" s="1">
        <v>314.0</v>
      </c>
      <c r="B547" s="1" t="s">
        <v>51</v>
      </c>
      <c r="C547" s="1" t="s">
        <v>1103</v>
      </c>
      <c r="D547" s="1" t="s">
        <v>1103</v>
      </c>
      <c r="E547" s="1" t="s">
        <v>1104</v>
      </c>
      <c r="F547" s="1" t="s">
        <v>4453</v>
      </c>
      <c r="G547" s="1" t="s">
        <v>4509</v>
      </c>
      <c r="H547" s="1" t="s">
        <v>1103</v>
      </c>
      <c r="I547" s="1" t="s">
        <v>21</v>
      </c>
      <c r="J547" s="1" t="s">
        <v>4511</v>
      </c>
      <c r="K547">
        <v>-100.445882</v>
      </c>
      <c r="L547">
        <v>39.78373</v>
      </c>
      <c r="N547" s="1" t="s">
        <v>4515</v>
      </c>
      <c r="O547">
        <f t="shared" si="1"/>
        <v>39.78373</v>
      </c>
      <c r="P547">
        <f>IFERROR(__xludf.DUMMYFUNCTION("""COMPUTED_VALUE"""),-100.445882)</f>
        <v>-100.445882</v>
      </c>
      <c r="Q547" t="str">
        <f>IFERROR(__xludf.DUMMYFUNCTION("""COMPUTED_VALUE"""),"""Peatonal Sarmiento 144")</f>
        <v>"Peatonal Sarmiento 144</v>
      </c>
      <c r="R547" t="str">
        <f>IFERROR(__xludf.DUMMYFUNCTION("""COMPUTED_VALUE""")," Mendoza ")</f>
        <v> Mendoza </v>
      </c>
      <c r="S547" t="str">
        <f>IFERROR(__xludf.DUMMYFUNCTION("""COMPUTED_VALUE""")," Argentina""")</f>
        <v> Argentina"</v>
      </c>
      <c r="T547" t="str">
        <f>IFERROR(__xludf.DUMMYFUNCTION("""COMPUTED_VALUE"""),"US")</f>
        <v>US</v>
      </c>
    </row>
    <row r="548">
      <c r="A548" s="1">
        <v>343.0</v>
      </c>
      <c r="B548" s="1" t="s">
        <v>154</v>
      </c>
      <c r="C548" s="1" t="s">
        <v>1103</v>
      </c>
      <c r="D548" s="1" t="s">
        <v>1103</v>
      </c>
      <c r="E548" s="1" t="s">
        <v>1104</v>
      </c>
      <c r="F548" s="1" t="s">
        <v>4453</v>
      </c>
      <c r="G548" s="1" t="s">
        <v>3561</v>
      </c>
      <c r="H548" s="1" t="s">
        <v>1103</v>
      </c>
      <c r="I548" s="1" t="s">
        <v>21</v>
      </c>
      <c r="J548" s="1" t="s">
        <v>3563</v>
      </c>
      <c r="K548">
        <v>-68.343141</v>
      </c>
      <c r="L548">
        <v>-34.623133</v>
      </c>
      <c r="N548" s="1" t="s">
        <v>4533</v>
      </c>
      <c r="O548">
        <f t="shared" si="1"/>
        <v>-34.623133</v>
      </c>
      <c r="P548">
        <f>IFERROR(__xludf.DUMMYFUNCTION("""COMPUTED_VALUE"""),-68.343141)</f>
        <v>-68.343141</v>
      </c>
      <c r="Q548" t="str">
        <f>IFERROR(__xludf.DUMMYFUNCTION("""COMPUTED_VALUE"""),"""Av, Sarmiento 687")</f>
        <v>"Av, Sarmiento 687</v>
      </c>
      <c r="R548" t="str">
        <f>IFERROR(__xludf.DUMMYFUNCTION("""COMPUTED_VALUE""")," Mendoza ")</f>
        <v> Mendoza </v>
      </c>
      <c r="S548" t="str">
        <f>IFERROR(__xludf.DUMMYFUNCTION("""COMPUTED_VALUE""")," Argentina""")</f>
        <v> Argentina"</v>
      </c>
      <c r="T548" t="str">
        <f>IFERROR(__xludf.DUMMYFUNCTION("""COMPUTED_VALUE"""),"""Avenida Sarmiento 687")</f>
        <v>"Avenida Sarmiento 687</v>
      </c>
      <c r="U548" t="str">
        <f>IFERROR(__xludf.DUMMYFUNCTION("""COMPUTED_VALUE""")," San Rafael")</f>
        <v> San Rafael</v>
      </c>
      <c r="V548" t="str">
        <f>IFERROR(__xludf.DUMMYFUNCTION("""COMPUTED_VALUE""")," Distrito Ciudad de San Rafael")</f>
        <v> Distrito Ciudad de San Rafael</v>
      </c>
      <c r="W548" t="str">
        <f>IFERROR(__xludf.DUMMYFUNCTION("""COMPUTED_VALUE""")," Mendoza")</f>
        <v> Mendoza</v>
      </c>
      <c r="X548" t="str">
        <f>IFERROR(__xludf.DUMMYFUNCTION("""COMPUTED_VALUE""")," AR""")</f>
        <v> AR"</v>
      </c>
    </row>
    <row r="549">
      <c r="A549" s="1">
        <v>361.0</v>
      </c>
      <c r="B549" s="1" t="s">
        <v>24</v>
      </c>
      <c r="C549" s="1">
        <v>12.0</v>
      </c>
      <c r="D549" s="1" t="s">
        <v>4543</v>
      </c>
      <c r="E549" s="1" t="s">
        <v>1104</v>
      </c>
      <c r="F549" s="1" t="s">
        <v>4453</v>
      </c>
      <c r="G549" s="1" t="s">
        <v>4545</v>
      </c>
      <c r="H549" s="1" t="s">
        <v>4547</v>
      </c>
      <c r="I549" s="1" t="s">
        <v>21</v>
      </c>
      <c r="J549" s="1" t="s">
        <v>4548</v>
      </c>
      <c r="K549">
        <v>-68.852106</v>
      </c>
      <c r="L549">
        <v>-32.892768</v>
      </c>
      <c r="N549" s="1" t="s">
        <v>4550</v>
      </c>
      <c r="O549">
        <f t="shared" si="1"/>
        <v>-32.892768</v>
      </c>
      <c r="P549">
        <f>IFERROR(__xludf.DUMMYFUNCTION("""COMPUTED_VALUE"""),-68.852106)</f>
        <v>-68.852106</v>
      </c>
      <c r="Q549" t="str">
        <f>IFERROR(__xludf.DUMMYFUNCTION("""COMPUTED_VALUE"""),"""Arístides Villanueva 101")</f>
        <v>"Arístides Villanueva 101</v>
      </c>
      <c r="R549" t="str">
        <f>IFERROR(__xludf.DUMMYFUNCTION("""COMPUTED_VALUE""")," Mendoza ")</f>
        <v> Mendoza </v>
      </c>
      <c r="S549" t="str">
        <f>IFERROR(__xludf.DUMMYFUNCTION("""COMPUTED_VALUE""")," Argentina""")</f>
        <v> Argentina"</v>
      </c>
      <c r="T549" t="str">
        <f>IFERROR(__xludf.DUMMYFUNCTION("""COMPUTED_VALUE"""),"""Arístides Villanueva 101")</f>
        <v>"Arístides Villanueva 101</v>
      </c>
      <c r="U549" t="str">
        <f>IFERROR(__xludf.DUMMYFUNCTION("""COMPUTED_VALUE""")," Ciudad de Mendoza")</f>
        <v> Ciudad de Mendoza</v>
      </c>
      <c r="V549" t="str">
        <f>IFERROR(__xludf.DUMMYFUNCTION("""COMPUTED_VALUE""")," Sección 5ª Residencial Sur")</f>
        <v> Sección 5ª Residencial Sur</v>
      </c>
      <c r="W549" t="str">
        <f>IFERROR(__xludf.DUMMYFUNCTION("""COMPUTED_VALUE""")," Mendoza")</f>
        <v> Mendoza</v>
      </c>
      <c r="X549" t="str">
        <f>IFERROR(__xludf.DUMMYFUNCTION("""COMPUTED_VALUE""")," AR""")</f>
        <v> AR"</v>
      </c>
    </row>
    <row r="550">
      <c r="A550" s="1">
        <v>454.0</v>
      </c>
      <c r="B550" s="1" t="s">
        <v>24</v>
      </c>
      <c r="C550" s="1">
        <v>4.0</v>
      </c>
      <c r="D550" s="1" t="s">
        <v>57</v>
      </c>
      <c r="E550" s="1" t="s">
        <v>1104</v>
      </c>
      <c r="F550" s="1" t="s">
        <v>4453</v>
      </c>
      <c r="G550" s="1" t="s">
        <v>4558</v>
      </c>
      <c r="H550" s="1" t="s">
        <v>60</v>
      </c>
      <c r="I550" s="1" t="s">
        <v>21</v>
      </c>
      <c r="J550" s="1" t="s">
        <v>4559</v>
      </c>
      <c r="K550">
        <v>-68.855083</v>
      </c>
      <c r="L550">
        <v>-32.892378</v>
      </c>
      <c r="N550" s="1" t="s">
        <v>4560</v>
      </c>
      <c r="O550">
        <f t="shared" si="1"/>
        <v>-32.892378</v>
      </c>
      <c r="P550">
        <f>IFERROR(__xludf.DUMMYFUNCTION("""COMPUTED_VALUE"""),-68.855083)</f>
        <v>-68.855083</v>
      </c>
      <c r="Q550" t="str">
        <f>IFERROR(__xludf.DUMMYFUNCTION("""COMPUTED_VALUE"""),"""Arístides Villanueva 314")</f>
        <v>"Arístides Villanueva 314</v>
      </c>
      <c r="R550" t="str">
        <f>IFERROR(__xludf.DUMMYFUNCTION("""COMPUTED_VALUE""")," Mendoza ")</f>
        <v> Mendoza </v>
      </c>
      <c r="S550" t="str">
        <f>IFERROR(__xludf.DUMMYFUNCTION("""COMPUTED_VALUE""")," Argentina""")</f>
        <v> Argentina"</v>
      </c>
      <c r="T550" t="str">
        <f>IFERROR(__xludf.DUMMYFUNCTION("""COMPUTED_VALUE"""),"""Arístides Villanueva 314")</f>
        <v>"Arístides Villanueva 314</v>
      </c>
      <c r="U550" t="str">
        <f>IFERROR(__xludf.DUMMYFUNCTION("""COMPUTED_VALUE""")," Ciudad de Mendoza")</f>
        <v> Ciudad de Mendoza</v>
      </c>
      <c r="V550" t="str">
        <f>IFERROR(__xludf.DUMMYFUNCTION("""COMPUTED_VALUE""")," Sección 5ª Residencial Sur")</f>
        <v> Sección 5ª Residencial Sur</v>
      </c>
      <c r="W550" t="str">
        <f>IFERROR(__xludf.DUMMYFUNCTION("""COMPUTED_VALUE""")," Mendoza")</f>
        <v> Mendoza</v>
      </c>
      <c r="X550" t="str">
        <f>IFERROR(__xludf.DUMMYFUNCTION("""COMPUTED_VALUE""")," AR""")</f>
        <v> AR"</v>
      </c>
    </row>
    <row r="551">
      <c r="A551" s="1">
        <v>518.0</v>
      </c>
      <c r="B551" s="1" t="s">
        <v>109</v>
      </c>
      <c r="C551" s="1">
        <v>3.0</v>
      </c>
      <c r="D551" s="1" t="s">
        <v>4566</v>
      </c>
      <c r="E551" s="1" t="s">
        <v>1104</v>
      </c>
      <c r="F551" s="1" t="s">
        <v>4453</v>
      </c>
      <c r="G551" s="1" t="s">
        <v>4567</v>
      </c>
      <c r="H551" s="1" t="s">
        <v>4569</v>
      </c>
      <c r="I551" s="1" t="s">
        <v>21</v>
      </c>
      <c r="J551" s="1" t="s">
        <v>4571</v>
      </c>
      <c r="K551">
        <v>-68.83804</v>
      </c>
      <c r="L551">
        <v>-32.885271</v>
      </c>
      <c r="N551" s="1" t="s">
        <v>4573</v>
      </c>
      <c r="O551">
        <f t="shared" si="1"/>
        <v>-32.885271</v>
      </c>
      <c r="P551">
        <f>IFERROR(__xludf.DUMMYFUNCTION("""COMPUTED_VALUE"""),-68.83804)</f>
        <v>-68.83804</v>
      </c>
      <c r="Q551" t="str">
        <f>IFERROR(__xludf.DUMMYFUNCTION("""COMPUTED_VALUE"""),"""Av, San Martín 1329")</f>
        <v>"Av, San Martín 1329</v>
      </c>
      <c r="R551" t="str">
        <f>IFERROR(__xludf.DUMMYFUNCTION("""COMPUTED_VALUE""")," Mendoza ")</f>
        <v> Mendoza </v>
      </c>
      <c r="S551" t="str">
        <f>IFERROR(__xludf.DUMMYFUNCTION("""COMPUTED_VALUE""")," Argentina""")</f>
        <v> Argentina"</v>
      </c>
      <c r="T551" t="str">
        <f>IFERROR(__xludf.DUMMYFUNCTION("""COMPUTED_VALUE"""),"""Avenida San Martín")</f>
        <v>"Avenida San Martín</v>
      </c>
      <c r="U551" t="str">
        <f>IFERROR(__xludf.DUMMYFUNCTION("""COMPUTED_VALUE""")," Ciudad de Mendoza")</f>
        <v> Ciudad de Mendoza</v>
      </c>
      <c r="V551" t="str">
        <f>IFERROR(__xludf.DUMMYFUNCTION("""COMPUTED_VALUE""")," Sección 3ª Parque O'Higgins")</f>
        <v> Sección 3ª Parque O'Higgins</v>
      </c>
      <c r="W551" t="str">
        <f>IFERROR(__xludf.DUMMYFUNCTION("""COMPUTED_VALUE""")," Mendoza")</f>
        <v> Mendoza</v>
      </c>
      <c r="X551" t="str">
        <f>IFERROR(__xludf.DUMMYFUNCTION("""COMPUTED_VALUE""")," AR""")</f>
        <v> AR"</v>
      </c>
    </row>
    <row r="552">
      <c r="A552" s="1">
        <v>520.0</v>
      </c>
      <c r="B552" s="1" t="s">
        <v>109</v>
      </c>
      <c r="C552" s="1">
        <v>4.0</v>
      </c>
      <c r="D552" s="1" t="s">
        <v>578</v>
      </c>
      <c r="E552" s="1" t="s">
        <v>1104</v>
      </c>
      <c r="F552" s="1" t="s">
        <v>4453</v>
      </c>
      <c r="G552" s="1" t="s">
        <v>4582</v>
      </c>
      <c r="H552" s="1" t="s">
        <v>581</v>
      </c>
      <c r="I552" s="1" t="s">
        <v>21</v>
      </c>
      <c r="J552" s="1" t="s">
        <v>4583</v>
      </c>
      <c r="K552">
        <v>-68.83804</v>
      </c>
      <c r="L552">
        <v>-32.885271</v>
      </c>
      <c r="N552" s="1" t="s">
        <v>4584</v>
      </c>
      <c r="O552">
        <f t="shared" si="1"/>
        <v>-32.885271</v>
      </c>
      <c r="P552">
        <f>IFERROR(__xludf.DUMMYFUNCTION("""COMPUTED_VALUE"""),-68.83804)</f>
        <v>-68.83804</v>
      </c>
      <c r="Q552" t="str">
        <f>IFERROR(__xludf.DUMMYFUNCTION("""COMPUTED_VALUE"""),"""Av, San Martín 1315")</f>
        <v>"Av, San Martín 1315</v>
      </c>
      <c r="R552" t="str">
        <f>IFERROR(__xludf.DUMMYFUNCTION("""COMPUTED_VALUE""")," Mendoza ")</f>
        <v> Mendoza </v>
      </c>
      <c r="S552" t="str">
        <f>IFERROR(__xludf.DUMMYFUNCTION("""COMPUTED_VALUE""")," Argentina""")</f>
        <v> Argentina"</v>
      </c>
      <c r="T552" t="str">
        <f>IFERROR(__xludf.DUMMYFUNCTION("""COMPUTED_VALUE"""),"""Avenida San Martín")</f>
        <v>"Avenida San Martín</v>
      </c>
      <c r="U552" t="str">
        <f>IFERROR(__xludf.DUMMYFUNCTION("""COMPUTED_VALUE""")," Ciudad de Mendoza")</f>
        <v> Ciudad de Mendoza</v>
      </c>
      <c r="V552" t="str">
        <f>IFERROR(__xludf.DUMMYFUNCTION("""COMPUTED_VALUE""")," Sección 3ª Parque O'Higgins")</f>
        <v> Sección 3ª Parque O'Higgins</v>
      </c>
      <c r="W552" t="str">
        <f>IFERROR(__xludf.DUMMYFUNCTION("""COMPUTED_VALUE""")," Mendoza")</f>
        <v> Mendoza</v>
      </c>
      <c r="X552" t="str">
        <f>IFERROR(__xludf.DUMMYFUNCTION("""COMPUTED_VALUE""")," AR""")</f>
        <v> AR"</v>
      </c>
    </row>
    <row r="553">
      <c r="A553" s="1">
        <v>530.0</v>
      </c>
      <c r="B553" s="1" t="s">
        <v>109</v>
      </c>
      <c r="C553" s="1">
        <v>5.0</v>
      </c>
      <c r="D553" s="1" t="s">
        <v>4592</v>
      </c>
      <c r="E553" s="1" t="s">
        <v>1104</v>
      </c>
      <c r="F553" s="1" t="s">
        <v>4453</v>
      </c>
      <c r="G553" s="1" t="s">
        <v>2067</v>
      </c>
      <c r="H553" s="1" t="s">
        <v>2917</v>
      </c>
      <c r="I553" s="1" t="s">
        <v>21</v>
      </c>
      <c r="J553" s="1" t="s">
        <v>2068</v>
      </c>
      <c r="K553">
        <v>-68.83804</v>
      </c>
      <c r="L553">
        <v>-32.885271</v>
      </c>
      <c r="N553" s="1" t="s">
        <v>4593</v>
      </c>
      <c r="O553">
        <f t="shared" si="1"/>
        <v>-32.885271</v>
      </c>
      <c r="P553">
        <f>IFERROR(__xludf.DUMMYFUNCTION("""COMPUTED_VALUE"""),-68.83804)</f>
        <v>-68.83804</v>
      </c>
      <c r="Q553" t="str">
        <f>IFERROR(__xludf.DUMMYFUNCTION("""COMPUTED_VALUE"""),"""Av, San Martín 1455")</f>
        <v>"Av, San Martín 1455</v>
      </c>
      <c r="R553" t="str">
        <f>IFERROR(__xludf.DUMMYFUNCTION("""COMPUTED_VALUE""")," Mendoza ")</f>
        <v> Mendoza </v>
      </c>
      <c r="S553" t="str">
        <f>IFERROR(__xludf.DUMMYFUNCTION("""COMPUTED_VALUE""")," Argentina""")</f>
        <v> Argentina"</v>
      </c>
      <c r="T553" t="str">
        <f>IFERROR(__xludf.DUMMYFUNCTION("""COMPUTED_VALUE"""),"""Avenida San Martín")</f>
        <v>"Avenida San Martín</v>
      </c>
      <c r="U553" t="str">
        <f>IFERROR(__xludf.DUMMYFUNCTION("""COMPUTED_VALUE""")," Ciudad de Mendoza")</f>
        <v> Ciudad de Mendoza</v>
      </c>
      <c r="V553" t="str">
        <f>IFERROR(__xludf.DUMMYFUNCTION("""COMPUTED_VALUE""")," Sección 3ª Parque O'Higgins")</f>
        <v> Sección 3ª Parque O'Higgins</v>
      </c>
      <c r="W553" t="str">
        <f>IFERROR(__xludf.DUMMYFUNCTION("""COMPUTED_VALUE""")," Mendoza")</f>
        <v> Mendoza</v>
      </c>
      <c r="X553" t="str">
        <f>IFERROR(__xludf.DUMMYFUNCTION("""COMPUTED_VALUE""")," AR""")</f>
        <v> AR"</v>
      </c>
    </row>
    <row r="554">
      <c r="A554" s="1">
        <v>531.0</v>
      </c>
      <c r="B554" s="1" t="s">
        <v>109</v>
      </c>
      <c r="C554" s="1">
        <v>5.0</v>
      </c>
      <c r="D554" s="1" t="s">
        <v>2305</v>
      </c>
      <c r="E554" s="1" t="s">
        <v>1104</v>
      </c>
      <c r="F554" s="1" t="s">
        <v>4453</v>
      </c>
      <c r="G554" s="1" t="s">
        <v>4605</v>
      </c>
      <c r="H554" s="1" t="s">
        <v>2394</v>
      </c>
      <c r="I554" s="1" t="s">
        <v>21</v>
      </c>
      <c r="J554" s="1" t="s">
        <v>4606</v>
      </c>
      <c r="K554">
        <v>-68.832452</v>
      </c>
      <c r="L554">
        <v>-32.864375</v>
      </c>
      <c r="N554" s="1" t="s">
        <v>4607</v>
      </c>
      <c r="O554">
        <f t="shared" si="1"/>
        <v>-32.864375</v>
      </c>
      <c r="P554">
        <f>IFERROR(__xludf.DUMMYFUNCTION("""COMPUTED_VALUE"""),-68.832452)</f>
        <v>-68.832452</v>
      </c>
      <c r="Q554" t="str">
        <f>IFERROR(__xludf.DUMMYFUNCTION("""COMPUTED_VALUE"""),"""Av, San Martín 1451")</f>
        <v>"Av, San Martín 1451</v>
      </c>
      <c r="R554" t="str">
        <f>IFERROR(__xludf.DUMMYFUNCTION("""COMPUTED_VALUE""")," Mendoza ")</f>
        <v> Mendoza </v>
      </c>
      <c r="S554" t="str">
        <f>IFERROR(__xludf.DUMMYFUNCTION("""COMPUTED_VALUE""")," Argentina""")</f>
        <v> Argentina"</v>
      </c>
      <c r="T554" t="str">
        <f>IFERROR(__xludf.DUMMYFUNCTION("""COMPUTED_VALUE"""),"""Avenida San Martín")</f>
        <v>"Avenida San Martín</v>
      </c>
      <c r="U554" t="str">
        <f>IFERROR(__xludf.DUMMYFUNCTION("""COMPUTED_VALUE""")," Ciudad de Mendoza")</f>
        <v> Ciudad de Mendoza</v>
      </c>
      <c r="V554" t="str">
        <f>IFERROR(__xludf.DUMMYFUNCTION("""COMPUTED_VALUE""")," Sección 4ª Oeste y Área Fundacional")</f>
        <v> Sección 4ª Oeste y Área Fundacional</v>
      </c>
      <c r="W554" t="str">
        <f>IFERROR(__xludf.DUMMYFUNCTION("""COMPUTED_VALUE""")," Mendoza")</f>
        <v> Mendoza</v>
      </c>
      <c r="X554" t="str">
        <f>IFERROR(__xludf.DUMMYFUNCTION("""COMPUTED_VALUE""")," AR""")</f>
        <v> AR"</v>
      </c>
    </row>
    <row r="555">
      <c r="A555" s="1">
        <v>600.0</v>
      </c>
      <c r="B555" s="1" t="s">
        <v>109</v>
      </c>
      <c r="C555" s="1">
        <v>12.0</v>
      </c>
      <c r="D555" s="1" t="s">
        <v>4592</v>
      </c>
      <c r="E555" s="1" t="s">
        <v>1104</v>
      </c>
      <c r="F555" s="1" t="s">
        <v>4453</v>
      </c>
      <c r="G555" s="1" t="s">
        <v>4616</v>
      </c>
      <c r="H555" s="1" t="s">
        <v>3418</v>
      </c>
      <c r="I555" s="1" t="s">
        <v>21</v>
      </c>
      <c r="J555" s="1" t="s">
        <v>4618</v>
      </c>
      <c r="K555">
        <v>-68.838448</v>
      </c>
      <c r="L555">
        <v>-32.886636</v>
      </c>
      <c r="N555" s="1" t="s">
        <v>4621</v>
      </c>
      <c r="O555">
        <f t="shared" si="1"/>
        <v>-32.886636</v>
      </c>
      <c r="P555">
        <f>IFERROR(__xludf.DUMMYFUNCTION("""COMPUTED_VALUE"""),-68.838448)</f>
        <v>-68.838448</v>
      </c>
      <c r="Q555" t="str">
        <f>IFERROR(__xludf.DUMMYFUNCTION("""COMPUTED_VALUE"""),"""Av, San Martín 1480")</f>
        <v>"Av, San Martín 1480</v>
      </c>
      <c r="R555" t="str">
        <f>IFERROR(__xludf.DUMMYFUNCTION("""COMPUTED_VALUE""")," Mendoza ")</f>
        <v> Mendoza </v>
      </c>
      <c r="S555" t="str">
        <f>IFERROR(__xludf.DUMMYFUNCTION("""COMPUTED_VALUE""")," Argentina""")</f>
        <v> Argentina"</v>
      </c>
      <c r="T555" t="str">
        <f>IFERROR(__xludf.DUMMYFUNCTION("""COMPUTED_VALUE"""),"""Avenida San Martín 1480")</f>
        <v>"Avenida San Martín 1480</v>
      </c>
      <c r="U555" t="str">
        <f>IFERROR(__xludf.DUMMYFUNCTION("""COMPUTED_VALUE""")," Ciudad de Mendoza")</f>
        <v> Ciudad de Mendoza</v>
      </c>
      <c r="V555" t="str">
        <f>IFERROR(__xludf.DUMMYFUNCTION("""COMPUTED_VALUE""")," Sección 3ª Parque O'Higgins")</f>
        <v> Sección 3ª Parque O'Higgins</v>
      </c>
      <c r="W555" t="str">
        <f>IFERROR(__xludf.DUMMYFUNCTION("""COMPUTED_VALUE""")," Mendoza")</f>
        <v> Mendoza</v>
      </c>
      <c r="X555" t="str">
        <f>IFERROR(__xludf.DUMMYFUNCTION("""COMPUTED_VALUE""")," AR""")</f>
        <v> AR"</v>
      </c>
    </row>
    <row r="556">
      <c r="A556" s="1">
        <v>821.0</v>
      </c>
      <c r="B556" s="1" t="s">
        <v>55</v>
      </c>
      <c r="C556" s="1">
        <v>11.0</v>
      </c>
      <c r="D556" s="1">
        <v>0.0</v>
      </c>
      <c r="E556" s="1" t="s">
        <v>1104</v>
      </c>
      <c r="F556" s="1" t="s">
        <v>4453</v>
      </c>
      <c r="G556" s="1" t="s">
        <v>2048</v>
      </c>
      <c r="H556" s="3" t="s">
        <v>1299</v>
      </c>
      <c r="I556" s="1" t="s">
        <v>21</v>
      </c>
      <c r="J556" s="1" t="s">
        <v>4633</v>
      </c>
      <c r="K556">
        <v>-68.841532</v>
      </c>
      <c r="L556">
        <v>-32.885734</v>
      </c>
      <c r="N556" s="1" t="s">
        <v>4634</v>
      </c>
      <c r="O556">
        <f t="shared" si="1"/>
        <v>-32.885734</v>
      </c>
      <c r="P556">
        <f>IFERROR(__xludf.DUMMYFUNCTION("""COMPUTED_VALUE"""),-68.841532)</f>
        <v>-68.841532</v>
      </c>
      <c r="Q556" t="str">
        <f>IFERROR(__xludf.DUMMYFUNCTION("""COMPUTED_VALUE"""),"""Av, Las Heras 257")</f>
        <v>"Av, Las Heras 257</v>
      </c>
      <c r="R556" t="str">
        <f>IFERROR(__xludf.DUMMYFUNCTION("""COMPUTED_VALUE""")," Mendoza ")</f>
        <v> Mendoza </v>
      </c>
      <c r="S556" t="str">
        <f>IFERROR(__xludf.DUMMYFUNCTION("""COMPUTED_VALUE""")," Argentina""")</f>
        <v> Argentina"</v>
      </c>
      <c r="T556" t="str">
        <f>IFERROR(__xludf.DUMMYFUNCTION("""COMPUTED_VALUE"""),"""Avenida Las Heras 257")</f>
        <v>"Avenida Las Heras 257</v>
      </c>
      <c r="U556" t="str">
        <f>IFERROR(__xludf.DUMMYFUNCTION("""COMPUTED_VALUE""")," Ciudad de Mendoza")</f>
        <v> Ciudad de Mendoza</v>
      </c>
      <c r="V556" t="str">
        <f>IFERROR(__xludf.DUMMYFUNCTION("""COMPUTED_VALUE""")," Sección 1ª Parque Central")</f>
        <v> Sección 1ª Parque Central</v>
      </c>
      <c r="W556" t="str">
        <f>IFERROR(__xludf.DUMMYFUNCTION("""COMPUTED_VALUE""")," Mendoza")</f>
        <v> Mendoza</v>
      </c>
      <c r="X556" t="str">
        <f>IFERROR(__xludf.DUMMYFUNCTION("""COMPUTED_VALUE""")," AR""")</f>
        <v> AR"</v>
      </c>
    </row>
    <row r="557">
      <c r="A557" s="1">
        <v>823.0</v>
      </c>
      <c r="B557" s="1" t="s">
        <v>55</v>
      </c>
      <c r="C557" s="1">
        <v>11.0</v>
      </c>
      <c r="D557" s="1" t="s">
        <v>4642</v>
      </c>
      <c r="E557" s="1" t="s">
        <v>1104</v>
      </c>
      <c r="F557" s="1" t="s">
        <v>4453</v>
      </c>
      <c r="G557" s="1" t="s">
        <v>4644</v>
      </c>
      <c r="H557" s="3" t="s">
        <v>4645</v>
      </c>
      <c r="I557" s="1" t="s">
        <v>21</v>
      </c>
      <c r="J557" s="1" t="s">
        <v>4646</v>
      </c>
      <c r="K557">
        <v>-68.841637</v>
      </c>
      <c r="L557">
        <v>-32.885715</v>
      </c>
      <c r="N557" s="1" t="s">
        <v>4647</v>
      </c>
      <c r="O557">
        <f t="shared" si="1"/>
        <v>-32.885715</v>
      </c>
      <c r="P557">
        <f>IFERROR(__xludf.DUMMYFUNCTION("""COMPUTED_VALUE"""),-68.841637)</f>
        <v>-68.841637</v>
      </c>
      <c r="Q557" t="str">
        <f>IFERROR(__xludf.DUMMYFUNCTION("""COMPUTED_VALUE"""),"""Av, Las Heras 267")</f>
        <v>"Av, Las Heras 267</v>
      </c>
      <c r="R557" t="str">
        <f>IFERROR(__xludf.DUMMYFUNCTION("""COMPUTED_VALUE""")," Mendoza ")</f>
        <v> Mendoza </v>
      </c>
      <c r="S557" t="str">
        <f>IFERROR(__xludf.DUMMYFUNCTION("""COMPUTED_VALUE""")," Argentina""")</f>
        <v> Argentina"</v>
      </c>
      <c r="T557" t="str">
        <f>IFERROR(__xludf.DUMMYFUNCTION("""COMPUTED_VALUE"""),"""Avenida Las Heras 267")</f>
        <v>"Avenida Las Heras 267</v>
      </c>
      <c r="U557" t="str">
        <f>IFERROR(__xludf.DUMMYFUNCTION("""COMPUTED_VALUE""")," Ciudad de Mendoza")</f>
        <v> Ciudad de Mendoza</v>
      </c>
      <c r="V557" t="str">
        <f>IFERROR(__xludf.DUMMYFUNCTION("""COMPUTED_VALUE""")," Sección 1ª Parque Central")</f>
        <v> Sección 1ª Parque Central</v>
      </c>
      <c r="W557" t="str">
        <f>IFERROR(__xludf.DUMMYFUNCTION("""COMPUTED_VALUE""")," Mendoza")</f>
        <v> Mendoza</v>
      </c>
      <c r="X557" t="str">
        <f>IFERROR(__xludf.DUMMYFUNCTION("""COMPUTED_VALUE""")," AR""")</f>
        <v> AR"</v>
      </c>
    </row>
    <row r="558">
      <c r="A558" s="1">
        <v>842.0</v>
      </c>
      <c r="B558" s="1" t="s">
        <v>55</v>
      </c>
      <c r="C558" s="1">
        <v>16.0</v>
      </c>
      <c r="D558" s="1">
        <v>0.0</v>
      </c>
      <c r="E558" s="1" t="s">
        <v>1104</v>
      </c>
      <c r="F558" s="1" t="s">
        <v>4453</v>
      </c>
      <c r="G558" s="1" t="s">
        <v>4655</v>
      </c>
      <c r="H558" s="1" t="s">
        <v>4656</v>
      </c>
      <c r="I558" s="1" t="s">
        <v>21</v>
      </c>
      <c r="J558" s="1" t="s">
        <v>4657</v>
      </c>
      <c r="K558">
        <v>-68.843199</v>
      </c>
      <c r="L558">
        <v>-32.885425</v>
      </c>
      <c r="N558" s="1" t="s">
        <v>4658</v>
      </c>
      <c r="O558">
        <f t="shared" si="1"/>
        <v>-32.885425</v>
      </c>
      <c r="P558">
        <f>IFERROR(__xludf.DUMMYFUNCTION("""COMPUTED_VALUE"""),-68.843199)</f>
        <v>-68.843199</v>
      </c>
      <c r="Q558" t="str">
        <f>IFERROR(__xludf.DUMMYFUNCTION("""COMPUTED_VALUE"""),"""Av, Las Heras 399")</f>
        <v>"Av, Las Heras 399</v>
      </c>
      <c r="R558" t="str">
        <f>IFERROR(__xludf.DUMMYFUNCTION("""COMPUTED_VALUE""")," Mendoza ")</f>
        <v> Mendoza </v>
      </c>
      <c r="S558" t="str">
        <f>IFERROR(__xludf.DUMMYFUNCTION("""COMPUTED_VALUE""")," Argentina""")</f>
        <v> Argentina"</v>
      </c>
      <c r="T558" t="str">
        <f>IFERROR(__xludf.DUMMYFUNCTION("""COMPUTED_VALUE"""),"""Avenida Las Heras 399")</f>
        <v>"Avenida Las Heras 399</v>
      </c>
      <c r="U558" t="str">
        <f>IFERROR(__xludf.DUMMYFUNCTION("""COMPUTED_VALUE""")," Ciudad de Mendoza")</f>
        <v> Ciudad de Mendoza</v>
      </c>
      <c r="V558" t="str">
        <f>IFERROR(__xludf.DUMMYFUNCTION("""COMPUTED_VALUE""")," Sección 1ª Parque Central")</f>
        <v> Sección 1ª Parque Central</v>
      </c>
      <c r="W558" t="str">
        <f>IFERROR(__xludf.DUMMYFUNCTION("""COMPUTED_VALUE""")," Mendoza")</f>
        <v> Mendoza</v>
      </c>
      <c r="X558" t="str">
        <f>IFERROR(__xludf.DUMMYFUNCTION("""COMPUTED_VALUE""")," AR""")</f>
        <v> AR"</v>
      </c>
    </row>
    <row r="559">
      <c r="A559" s="1">
        <v>848.0</v>
      </c>
      <c r="B559" s="1" t="s">
        <v>55</v>
      </c>
      <c r="C559" s="1">
        <v>16.0</v>
      </c>
      <c r="D559" s="1" t="s">
        <v>2396</v>
      </c>
      <c r="E559" s="1" t="s">
        <v>1104</v>
      </c>
      <c r="F559" s="1" t="s">
        <v>4453</v>
      </c>
      <c r="G559" s="1" t="s">
        <v>4662</v>
      </c>
      <c r="H559" s="3" t="s">
        <v>2397</v>
      </c>
      <c r="I559" s="1" t="s">
        <v>21</v>
      </c>
      <c r="J559" s="1" t="s">
        <v>4663</v>
      </c>
      <c r="K559">
        <v>-68.844661</v>
      </c>
      <c r="L559">
        <v>-32.885196</v>
      </c>
      <c r="N559" s="1" t="s">
        <v>4666</v>
      </c>
      <c r="O559">
        <f t="shared" si="1"/>
        <v>-32.885196</v>
      </c>
      <c r="P559">
        <f>IFERROR(__xludf.DUMMYFUNCTION("""COMPUTED_VALUE"""),-68.844661)</f>
        <v>-68.844661</v>
      </c>
      <c r="Q559" t="str">
        <f>IFERROR(__xludf.DUMMYFUNCTION("""COMPUTED_VALUE"""),"""Av, Las Heras 415")</f>
        <v>"Av, Las Heras 415</v>
      </c>
      <c r="R559" t="str">
        <f>IFERROR(__xludf.DUMMYFUNCTION("""COMPUTED_VALUE""")," Mendoza ")</f>
        <v> Mendoza </v>
      </c>
      <c r="S559" t="str">
        <f>IFERROR(__xludf.DUMMYFUNCTION("""COMPUTED_VALUE""")," Argentina""")</f>
        <v> Argentina"</v>
      </c>
      <c r="T559" t="str">
        <f>IFERROR(__xludf.DUMMYFUNCTION("""COMPUTED_VALUE"""),"""Avenida Las Heras")</f>
        <v>"Avenida Las Heras</v>
      </c>
      <c r="U559" t="str">
        <f>IFERROR(__xludf.DUMMYFUNCTION("""COMPUTED_VALUE""")," Ciudad de Mendoza")</f>
        <v> Ciudad de Mendoza</v>
      </c>
      <c r="V559" t="str">
        <f>IFERROR(__xludf.DUMMYFUNCTION("""COMPUTED_VALUE""")," Sección 1ª Parque Central")</f>
        <v> Sección 1ª Parque Central</v>
      </c>
      <c r="W559" t="str">
        <f>IFERROR(__xludf.DUMMYFUNCTION("""COMPUTED_VALUE""")," Mendoza")</f>
        <v> Mendoza</v>
      </c>
      <c r="X559" t="str">
        <f>IFERROR(__xludf.DUMMYFUNCTION("""COMPUTED_VALUE""")," AR""")</f>
        <v> AR"</v>
      </c>
    </row>
    <row r="560">
      <c r="A560" s="1">
        <v>849.0</v>
      </c>
      <c r="B560" s="1" t="s">
        <v>55</v>
      </c>
      <c r="C560" s="1">
        <v>2.0</v>
      </c>
      <c r="D560" s="1" t="s">
        <v>4673</v>
      </c>
      <c r="E560" s="1" t="s">
        <v>1104</v>
      </c>
      <c r="F560" s="1" t="s">
        <v>4453</v>
      </c>
      <c r="G560" s="1" t="s">
        <v>4674</v>
      </c>
      <c r="H560" s="1" t="s">
        <v>4675</v>
      </c>
      <c r="I560" s="1" t="s">
        <v>21</v>
      </c>
      <c r="J560" s="1" t="s">
        <v>4676</v>
      </c>
      <c r="K560">
        <v>-68.844661</v>
      </c>
      <c r="L560">
        <v>-32.885196</v>
      </c>
      <c r="N560" s="1" t="s">
        <v>4678</v>
      </c>
      <c r="O560">
        <f t="shared" si="1"/>
        <v>-32.885196</v>
      </c>
      <c r="P560">
        <f>IFERROR(__xludf.DUMMYFUNCTION("""COMPUTED_VALUE"""),-68.844661)</f>
        <v>-68.844661</v>
      </c>
      <c r="Q560" t="str">
        <f>IFERROR(__xludf.DUMMYFUNCTION("""COMPUTED_VALUE"""),"""Av, Las Heras 431")</f>
        <v>"Av, Las Heras 431</v>
      </c>
      <c r="R560" t="str">
        <f>IFERROR(__xludf.DUMMYFUNCTION("""COMPUTED_VALUE""")," Mendoza ")</f>
        <v> Mendoza </v>
      </c>
      <c r="S560" t="str">
        <f>IFERROR(__xludf.DUMMYFUNCTION("""COMPUTED_VALUE""")," Argentina""")</f>
        <v> Argentina"</v>
      </c>
      <c r="T560" t="str">
        <f>IFERROR(__xludf.DUMMYFUNCTION("""COMPUTED_VALUE"""),"""Avenida Las Heras")</f>
        <v>"Avenida Las Heras</v>
      </c>
      <c r="U560" t="str">
        <f>IFERROR(__xludf.DUMMYFUNCTION("""COMPUTED_VALUE""")," Ciudad de Mendoza")</f>
        <v> Ciudad de Mendoza</v>
      </c>
      <c r="V560" t="str">
        <f>IFERROR(__xludf.DUMMYFUNCTION("""COMPUTED_VALUE""")," Sección 1ª Parque Central")</f>
        <v> Sección 1ª Parque Central</v>
      </c>
      <c r="W560" t="str">
        <f>IFERROR(__xludf.DUMMYFUNCTION("""COMPUTED_VALUE""")," Mendoza")</f>
        <v> Mendoza</v>
      </c>
      <c r="X560" t="str">
        <f>IFERROR(__xludf.DUMMYFUNCTION("""COMPUTED_VALUE""")," AR""")</f>
        <v> AR"</v>
      </c>
    </row>
    <row r="561">
      <c r="A561" s="1">
        <v>860.0</v>
      </c>
      <c r="B561" s="1" t="s">
        <v>55</v>
      </c>
      <c r="C561" s="1">
        <v>6.0</v>
      </c>
      <c r="D561" s="1" t="s">
        <v>4686</v>
      </c>
      <c r="E561" s="1" t="s">
        <v>1104</v>
      </c>
      <c r="F561" s="1" t="s">
        <v>4453</v>
      </c>
      <c r="G561" s="1" t="s">
        <v>4687</v>
      </c>
      <c r="H561" s="1" t="s">
        <v>527</v>
      </c>
      <c r="I561" s="1" t="s">
        <v>21</v>
      </c>
      <c r="J561" s="1" t="s">
        <v>4688</v>
      </c>
      <c r="K561">
        <v>-68.844661</v>
      </c>
      <c r="L561">
        <v>-32.885196</v>
      </c>
      <c r="N561" s="1" t="s">
        <v>4689</v>
      </c>
      <c r="O561">
        <f t="shared" si="1"/>
        <v>-32.885196</v>
      </c>
      <c r="P561">
        <f>IFERROR(__xludf.DUMMYFUNCTION("""COMPUTED_VALUE"""),-68.844661)</f>
        <v>-68.844661</v>
      </c>
      <c r="Q561" t="str">
        <f>IFERROR(__xludf.DUMMYFUNCTION("""COMPUTED_VALUE"""),"""Av, Las Heras 509")</f>
        <v>"Av, Las Heras 509</v>
      </c>
      <c r="R561" t="str">
        <f>IFERROR(__xludf.DUMMYFUNCTION("""COMPUTED_VALUE""")," Mendoza ")</f>
        <v> Mendoza </v>
      </c>
      <c r="S561" t="str">
        <f>IFERROR(__xludf.DUMMYFUNCTION("""COMPUTED_VALUE""")," Argentina""")</f>
        <v> Argentina"</v>
      </c>
      <c r="T561" t="str">
        <f>IFERROR(__xludf.DUMMYFUNCTION("""COMPUTED_VALUE"""),"""Avenida Las Heras")</f>
        <v>"Avenida Las Heras</v>
      </c>
      <c r="U561" t="str">
        <f>IFERROR(__xludf.DUMMYFUNCTION("""COMPUTED_VALUE""")," Ciudad de Mendoza")</f>
        <v> Ciudad de Mendoza</v>
      </c>
      <c r="V561" t="str">
        <f>IFERROR(__xludf.DUMMYFUNCTION("""COMPUTED_VALUE""")," Sección 1ª Parque Central")</f>
        <v> Sección 1ª Parque Central</v>
      </c>
      <c r="W561" t="str">
        <f>IFERROR(__xludf.DUMMYFUNCTION("""COMPUTED_VALUE""")," Mendoza")</f>
        <v> Mendoza</v>
      </c>
      <c r="X561" t="str">
        <f>IFERROR(__xludf.DUMMYFUNCTION("""COMPUTED_VALUE""")," AR""")</f>
        <v> AR"</v>
      </c>
    </row>
    <row r="562">
      <c r="A562" s="1">
        <v>907.0</v>
      </c>
      <c r="B562" s="1" t="s">
        <v>55</v>
      </c>
      <c r="C562" s="1">
        <v>1.0</v>
      </c>
      <c r="D562" s="1" t="s">
        <v>696</v>
      </c>
      <c r="E562" s="1" t="s">
        <v>1104</v>
      </c>
      <c r="F562" s="1" t="s">
        <v>4453</v>
      </c>
      <c r="G562" s="1" t="s">
        <v>4096</v>
      </c>
      <c r="H562" s="1" t="s">
        <v>698</v>
      </c>
      <c r="I562" s="1" t="s">
        <v>21</v>
      </c>
      <c r="J562" s="1" t="s">
        <v>4097</v>
      </c>
      <c r="K562">
        <v>-68.843769</v>
      </c>
      <c r="L562">
        <v>-32.885409</v>
      </c>
      <c r="N562" s="1" t="s">
        <v>4098</v>
      </c>
      <c r="O562">
        <f t="shared" si="1"/>
        <v>-32.885409</v>
      </c>
      <c r="P562">
        <f>IFERROR(__xludf.DUMMYFUNCTION("""COMPUTED_VALUE"""),-68.843769)</f>
        <v>-68.843769</v>
      </c>
      <c r="Q562" t="str">
        <f>IFERROR(__xludf.DUMMYFUNCTION("""COMPUTED_VALUE"""),"""Av, Las Heras 426")</f>
        <v>"Av, Las Heras 426</v>
      </c>
      <c r="R562" t="str">
        <f>IFERROR(__xludf.DUMMYFUNCTION("""COMPUTED_VALUE""")," Mendoza ")</f>
        <v> Mendoza </v>
      </c>
      <c r="S562" t="str">
        <f>IFERROR(__xludf.DUMMYFUNCTION("""COMPUTED_VALUE""")," Argentina""")</f>
        <v> Argentina"</v>
      </c>
      <c r="T562" t="str">
        <f>IFERROR(__xludf.DUMMYFUNCTION("""COMPUTED_VALUE"""),"""Avenida Las Heras 426")</f>
        <v>"Avenida Las Heras 426</v>
      </c>
      <c r="U562" t="str">
        <f>IFERROR(__xludf.DUMMYFUNCTION("""COMPUTED_VALUE""")," Ciudad de Mendoza")</f>
        <v> Ciudad de Mendoza</v>
      </c>
      <c r="V562" t="str">
        <f>IFERROR(__xludf.DUMMYFUNCTION("""COMPUTED_VALUE""")," Sección 1ª Parque Central")</f>
        <v> Sección 1ª Parque Central</v>
      </c>
      <c r="W562" t="str">
        <f>IFERROR(__xludf.DUMMYFUNCTION("""COMPUTED_VALUE""")," Mendoza")</f>
        <v> Mendoza</v>
      </c>
      <c r="X562" t="str">
        <f>IFERROR(__xludf.DUMMYFUNCTION("""COMPUTED_VALUE""")," AR""")</f>
        <v> AR"</v>
      </c>
    </row>
    <row r="563">
      <c r="A563" s="1">
        <v>924.0</v>
      </c>
      <c r="B563" s="1" t="s">
        <v>55</v>
      </c>
      <c r="C563" s="1">
        <v>10.0</v>
      </c>
      <c r="D563" s="1" t="s">
        <v>4693</v>
      </c>
      <c r="E563" s="1" t="s">
        <v>1104</v>
      </c>
      <c r="F563" s="1" t="s">
        <v>4453</v>
      </c>
      <c r="G563" s="1" t="s">
        <v>4695</v>
      </c>
      <c r="H563" s="1" t="s">
        <v>3305</v>
      </c>
      <c r="I563" s="1" t="s">
        <v>21</v>
      </c>
      <c r="J563" s="1" t="s">
        <v>4697</v>
      </c>
      <c r="K563">
        <v>-68.841219</v>
      </c>
      <c r="L563">
        <v>-32.885895</v>
      </c>
      <c r="N563" s="1" t="s">
        <v>4698</v>
      </c>
      <c r="O563">
        <f t="shared" si="1"/>
        <v>-32.885895</v>
      </c>
      <c r="P563">
        <f>IFERROR(__xludf.DUMMYFUNCTION("""COMPUTED_VALUE"""),-68.841219)</f>
        <v>-68.841219</v>
      </c>
      <c r="Q563" t="str">
        <f>IFERROR(__xludf.DUMMYFUNCTION("""COMPUTED_VALUE"""),"""Av, Las Heras 228")</f>
        <v>"Av, Las Heras 228</v>
      </c>
      <c r="R563" t="str">
        <f>IFERROR(__xludf.DUMMYFUNCTION("""COMPUTED_VALUE""")," Mendoza ")</f>
        <v> Mendoza </v>
      </c>
      <c r="S563" t="str">
        <f>IFERROR(__xludf.DUMMYFUNCTION("""COMPUTED_VALUE""")," Argentina""")</f>
        <v> Argentina"</v>
      </c>
      <c r="T563" t="str">
        <f>IFERROR(__xludf.DUMMYFUNCTION("""COMPUTED_VALUE"""),"""Avenida Las Heras 228")</f>
        <v>"Avenida Las Heras 228</v>
      </c>
      <c r="U563" t="str">
        <f>IFERROR(__xludf.DUMMYFUNCTION("""COMPUTED_VALUE""")," Ciudad de Mendoza")</f>
        <v> Ciudad de Mendoza</v>
      </c>
      <c r="V563" t="str">
        <f>IFERROR(__xludf.DUMMYFUNCTION("""COMPUTED_VALUE""")," Sección 1ª Parque Central")</f>
        <v> Sección 1ª Parque Central</v>
      </c>
      <c r="W563" t="str">
        <f>IFERROR(__xludf.DUMMYFUNCTION("""COMPUTED_VALUE""")," Mendoza")</f>
        <v> Mendoza</v>
      </c>
      <c r="X563" t="str">
        <f>IFERROR(__xludf.DUMMYFUNCTION("""COMPUTED_VALUE""")," AR""")</f>
        <v> AR"</v>
      </c>
    </row>
    <row r="564">
      <c r="A564" s="1">
        <v>931.0</v>
      </c>
      <c r="B564" s="1" t="s">
        <v>55</v>
      </c>
      <c r="C564" s="1">
        <v>11.0</v>
      </c>
      <c r="D564" s="1" t="s">
        <v>1540</v>
      </c>
      <c r="E564" s="1" t="s">
        <v>1104</v>
      </c>
      <c r="F564" s="1" t="s">
        <v>4453</v>
      </c>
      <c r="G564" s="1" t="s">
        <v>4700</v>
      </c>
      <c r="H564" s="3" t="s">
        <v>1542</v>
      </c>
      <c r="I564" s="1" t="s">
        <v>21</v>
      </c>
      <c r="J564" s="1" t="s">
        <v>4701</v>
      </c>
      <c r="K564">
        <v>-68.841634</v>
      </c>
      <c r="L564">
        <v>-32.885817</v>
      </c>
      <c r="N564" s="1" t="s">
        <v>4702</v>
      </c>
      <c r="O564">
        <f t="shared" si="1"/>
        <v>-32.885817</v>
      </c>
      <c r="P564">
        <f>IFERROR(__xludf.DUMMYFUNCTION("""COMPUTED_VALUE"""),-68.841634)</f>
        <v>-68.841634</v>
      </c>
      <c r="Q564" t="str">
        <f>IFERROR(__xludf.DUMMYFUNCTION("""COMPUTED_VALUE"""),"""Av, Las Heras 266")</f>
        <v>"Av, Las Heras 266</v>
      </c>
      <c r="R564" t="str">
        <f>IFERROR(__xludf.DUMMYFUNCTION("""COMPUTED_VALUE""")," Mendoza ")</f>
        <v> Mendoza </v>
      </c>
      <c r="S564" t="str">
        <f>IFERROR(__xludf.DUMMYFUNCTION("""COMPUTED_VALUE""")," Argentina""")</f>
        <v> Argentina"</v>
      </c>
      <c r="T564" t="str">
        <f>IFERROR(__xludf.DUMMYFUNCTION("""COMPUTED_VALUE"""),"""Avenida Las Heras 266")</f>
        <v>"Avenida Las Heras 266</v>
      </c>
      <c r="U564" t="str">
        <f>IFERROR(__xludf.DUMMYFUNCTION("""COMPUTED_VALUE""")," Ciudad de Mendoza")</f>
        <v> Ciudad de Mendoza</v>
      </c>
      <c r="V564" t="str">
        <f>IFERROR(__xludf.DUMMYFUNCTION("""COMPUTED_VALUE""")," Sección 1ª Parque Central")</f>
        <v> Sección 1ª Parque Central</v>
      </c>
      <c r="W564" t="str">
        <f>IFERROR(__xludf.DUMMYFUNCTION("""COMPUTED_VALUE""")," Mendoza")</f>
        <v> Mendoza</v>
      </c>
      <c r="X564" t="str">
        <f>IFERROR(__xludf.DUMMYFUNCTION("""COMPUTED_VALUE""")," AR""")</f>
        <v> AR"</v>
      </c>
    </row>
    <row r="565">
      <c r="A565" s="1">
        <v>950.0</v>
      </c>
      <c r="B565" s="1" t="s">
        <v>55</v>
      </c>
      <c r="C565" s="1">
        <v>6.0</v>
      </c>
      <c r="D565" s="1" t="s">
        <v>4710</v>
      </c>
      <c r="E565" s="1" t="s">
        <v>1104</v>
      </c>
      <c r="F565" s="1" t="s">
        <v>4453</v>
      </c>
      <c r="G565" s="1" t="s">
        <v>4711</v>
      </c>
      <c r="H565" s="1" t="s">
        <v>4712</v>
      </c>
      <c r="I565" s="1" t="s">
        <v>21</v>
      </c>
      <c r="J565" s="1" t="s">
        <v>4713</v>
      </c>
      <c r="K565">
        <v>-68.838548</v>
      </c>
      <c r="L565">
        <v>-32.8864</v>
      </c>
      <c r="N565" s="1" t="s">
        <v>4714</v>
      </c>
      <c r="O565">
        <f t="shared" si="1"/>
        <v>-32.8864</v>
      </c>
      <c r="P565">
        <f>IFERROR(__xludf.DUMMYFUNCTION("""COMPUTED_VALUE"""),-68.838548)</f>
        <v>-68.838548</v>
      </c>
      <c r="Q565" t="str">
        <f>IFERROR(__xludf.DUMMYFUNCTION("""COMPUTED_VALUE"""),"""Av, Las Heras 10")</f>
        <v>"Av, Las Heras 10</v>
      </c>
      <c r="R565" t="str">
        <f>IFERROR(__xludf.DUMMYFUNCTION("""COMPUTED_VALUE""")," Mendoza ")</f>
        <v> Mendoza </v>
      </c>
      <c r="S565" t="str">
        <f>IFERROR(__xludf.DUMMYFUNCTION("""COMPUTED_VALUE""")," Argentina""")</f>
        <v> Argentina"</v>
      </c>
      <c r="T565" t="str">
        <f>IFERROR(__xludf.DUMMYFUNCTION("""COMPUTED_VALUE"""),"""Avenida Las Heras 10")</f>
        <v>"Avenida Las Heras 10</v>
      </c>
      <c r="U565" t="str">
        <f>IFERROR(__xludf.DUMMYFUNCTION("""COMPUTED_VALUE""")," Ciudad de Mendoza")</f>
        <v> Ciudad de Mendoza</v>
      </c>
      <c r="V565" t="str">
        <f>IFERROR(__xludf.DUMMYFUNCTION("""COMPUTED_VALUE""")," Sección 3ª Parque O'Higgins")</f>
        <v> Sección 3ª Parque O'Higgins</v>
      </c>
      <c r="W565" t="str">
        <f>IFERROR(__xludf.DUMMYFUNCTION("""COMPUTED_VALUE""")," Mendoza")</f>
        <v> Mendoza</v>
      </c>
      <c r="X565" t="str">
        <f>IFERROR(__xludf.DUMMYFUNCTION("""COMPUTED_VALUE""")," AR""")</f>
        <v> AR"</v>
      </c>
    </row>
    <row r="566">
      <c r="A566" s="1">
        <v>983.0</v>
      </c>
      <c r="B566" s="1" t="s">
        <v>62</v>
      </c>
      <c r="C566" s="1">
        <v>2.0</v>
      </c>
      <c r="D566" s="1" t="s">
        <v>4717</v>
      </c>
      <c r="E566" s="1" t="s">
        <v>1104</v>
      </c>
      <c r="F566" s="1" t="s">
        <v>4453</v>
      </c>
      <c r="G566" s="1" t="s">
        <v>4718</v>
      </c>
      <c r="H566" s="1" t="s">
        <v>3513</v>
      </c>
      <c r="I566" s="1" t="s">
        <v>21</v>
      </c>
      <c r="J566" s="1" t="s">
        <v>4719</v>
      </c>
      <c r="K566">
        <v>-68.845681</v>
      </c>
      <c r="L566">
        <v>-32.894025</v>
      </c>
      <c r="N566" s="1" t="s">
        <v>4720</v>
      </c>
      <c r="O566">
        <f t="shared" si="1"/>
        <v>-32.894025</v>
      </c>
      <c r="P566">
        <f>IFERROR(__xludf.DUMMYFUNCTION("""COMPUTED_VALUE"""),-68.845681)</f>
        <v>-68.845681</v>
      </c>
      <c r="Q566" t="str">
        <f>IFERROR(__xludf.DUMMYFUNCTION("""COMPUTED_VALUE"""),"""Av, Colón 251")</f>
        <v>"Av, Colón 251</v>
      </c>
      <c r="R566" t="str">
        <f>IFERROR(__xludf.DUMMYFUNCTION("""COMPUTED_VALUE""")," Mendoza ")</f>
        <v> Mendoza </v>
      </c>
      <c r="S566" t="str">
        <f>IFERROR(__xludf.DUMMYFUNCTION("""COMPUTED_VALUE""")," Argentina""")</f>
        <v> Argentina"</v>
      </c>
      <c r="T566" t="str">
        <f>IFERROR(__xludf.DUMMYFUNCTION("""COMPUTED_VALUE"""),"""Avenida Colón")</f>
        <v>"Avenida Colón</v>
      </c>
      <c r="U566" t="str">
        <f>IFERROR(__xludf.DUMMYFUNCTION("""COMPUTED_VALUE""")," Ciudad de Mendoza")</f>
        <v> Ciudad de Mendoza</v>
      </c>
      <c r="V566" t="str">
        <f>IFERROR(__xludf.DUMMYFUNCTION("""COMPUTED_VALUE""")," Sección 2ª Barrio Cívico")</f>
        <v> Sección 2ª Barrio Cívico</v>
      </c>
      <c r="W566" t="str">
        <f>IFERROR(__xludf.DUMMYFUNCTION("""COMPUTED_VALUE""")," Mendoza")</f>
        <v> Mendoza</v>
      </c>
      <c r="X566" t="str">
        <f>IFERROR(__xludf.DUMMYFUNCTION("""COMPUTED_VALUE""")," AR""")</f>
        <v> AR"</v>
      </c>
    </row>
    <row r="567">
      <c r="A567" s="1">
        <v>987.0</v>
      </c>
      <c r="B567" s="1" t="s">
        <v>62</v>
      </c>
      <c r="C567" s="1">
        <v>2.0</v>
      </c>
      <c r="D567" s="1" t="s">
        <v>4725</v>
      </c>
      <c r="E567" s="1" t="s">
        <v>1104</v>
      </c>
      <c r="F567" s="1" t="s">
        <v>4453</v>
      </c>
      <c r="G567" s="1" t="s">
        <v>1491</v>
      </c>
      <c r="H567" s="1" t="s">
        <v>1352</v>
      </c>
      <c r="I567" s="1" t="s">
        <v>21</v>
      </c>
      <c r="J567" s="1" t="s">
        <v>1493</v>
      </c>
      <c r="K567">
        <v>-68.845681</v>
      </c>
      <c r="L567">
        <v>-32.894025</v>
      </c>
      <c r="N567" s="1" t="s">
        <v>4728</v>
      </c>
      <c r="O567">
        <f t="shared" si="1"/>
        <v>-32.894025</v>
      </c>
      <c r="P567">
        <f>IFERROR(__xludf.DUMMYFUNCTION("""COMPUTED_VALUE"""),-68.845681)</f>
        <v>-68.845681</v>
      </c>
      <c r="Q567" t="str">
        <f>IFERROR(__xludf.DUMMYFUNCTION("""COMPUTED_VALUE"""),"""Av, Colón 293")</f>
        <v>"Av, Colón 293</v>
      </c>
      <c r="R567" t="str">
        <f>IFERROR(__xludf.DUMMYFUNCTION("""COMPUTED_VALUE""")," Mendoza ")</f>
        <v> Mendoza </v>
      </c>
      <c r="S567" t="str">
        <f>IFERROR(__xludf.DUMMYFUNCTION("""COMPUTED_VALUE""")," Argentina""")</f>
        <v> Argentina"</v>
      </c>
      <c r="T567" t="str">
        <f>IFERROR(__xludf.DUMMYFUNCTION("""COMPUTED_VALUE"""),"""Avenida Colón")</f>
        <v>"Avenida Colón</v>
      </c>
      <c r="U567" t="str">
        <f>IFERROR(__xludf.DUMMYFUNCTION("""COMPUTED_VALUE""")," Ciudad de Mendoza")</f>
        <v> Ciudad de Mendoza</v>
      </c>
      <c r="V567" t="str">
        <f>IFERROR(__xludf.DUMMYFUNCTION("""COMPUTED_VALUE""")," Sección 2ª Barrio Cívico")</f>
        <v> Sección 2ª Barrio Cívico</v>
      </c>
      <c r="W567" t="str">
        <f>IFERROR(__xludf.DUMMYFUNCTION("""COMPUTED_VALUE""")," Mendoza")</f>
        <v> Mendoza</v>
      </c>
      <c r="X567" t="str">
        <f>IFERROR(__xludf.DUMMYFUNCTION("""COMPUTED_VALUE""")," AR""")</f>
        <v> AR"</v>
      </c>
    </row>
    <row r="568">
      <c r="A568" s="1">
        <v>1031.0</v>
      </c>
      <c r="B568" s="1" t="s">
        <v>62</v>
      </c>
      <c r="C568" s="1">
        <v>6.0</v>
      </c>
      <c r="D568" s="1" t="s">
        <v>148</v>
      </c>
      <c r="E568" s="1" t="s">
        <v>1104</v>
      </c>
      <c r="F568" s="1" t="s">
        <v>4453</v>
      </c>
      <c r="G568" s="1" t="s">
        <v>1417</v>
      </c>
      <c r="H568" s="1" t="s">
        <v>150</v>
      </c>
      <c r="I568" s="1" t="s">
        <v>21</v>
      </c>
      <c r="J568" s="1" t="s">
        <v>4733</v>
      </c>
      <c r="K568">
        <v>-68.850057</v>
      </c>
      <c r="L568">
        <v>-32.893296</v>
      </c>
      <c r="N568" s="1" t="s">
        <v>4734</v>
      </c>
      <c r="O568">
        <f t="shared" si="1"/>
        <v>-32.893296</v>
      </c>
      <c r="P568">
        <f>IFERROR(__xludf.DUMMYFUNCTION("""COMPUTED_VALUE"""),-68.850057)</f>
        <v>-68.850057</v>
      </c>
      <c r="Q568" t="str">
        <f>IFERROR(__xludf.DUMMYFUNCTION("""COMPUTED_VALUE"""),"""Av, Colón 738")</f>
        <v>"Av, Colón 738</v>
      </c>
      <c r="R568" t="str">
        <f>IFERROR(__xludf.DUMMYFUNCTION("""COMPUTED_VALUE""")," Mendoza ")</f>
        <v> Mendoza </v>
      </c>
      <c r="S568" t="str">
        <f>IFERROR(__xludf.DUMMYFUNCTION("""COMPUTED_VALUE""")," Argentina""")</f>
        <v> Argentina"</v>
      </c>
      <c r="T568" t="str">
        <f>IFERROR(__xludf.DUMMYFUNCTION("""COMPUTED_VALUE"""),"""Avenida Colón 738")</f>
        <v>"Avenida Colón 738</v>
      </c>
      <c r="U568" t="str">
        <f>IFERROR(__xludf.DUMMYFUNCTION("""COMPUTED_VALUE""")," Ciudad de Mendoza")</f>
        <v> Ciudad de Mendoza</v>
      </c>
      <c r="V568" t="str">
        <f>IFERROR(__xludf.DUMMYFUNCTION("""COMPUTED_VALUE""")," Sección 5ª Residencial Sur")</f>
        <v> Sección 5ª Residencial Sur</v>
      </c>
      <c r="W568" t="str">
        <f>IFERROR(__xludf.DUMMYFUNCTION("""COMPUTED_VALUE""")," Mendoza")</f>
        <v> Mendoza</v>
      </c>
      <c r="X568" t="str">
        <f>IFERROR(__xludf.DUMMYFUNCTION("""COMPUTED_VALUE""")," AR""")</f>
        <v> AR"</v>
      </c>
    </row>
    <row r="569">
      <c r="A569" s="1">
        <v>1075.0</v>
      </c>
      <c r="B569" s="1" t="s">
        <v>62</v>
      </c>
      <c r="C569" s="1">
        <v>1.0</v>
      </c>
      <c r="D569" s="1" t="s">
        <v>4741</v>
      </c>
      <c r="E569" s="1" t="s">
        <v>1104</v>
      </c>
      <c r="F569" s="1" t="s">
        <v>4453</v>
      </c>
      <c r="G569" s="1" t="s">
        <v>4743</v>
      </c>
      <c r="H569" s="1" t="s">
        <v>4744</v>
      </c>
      <c r="I569" s="1" t="s">
        <v>21</v>
      </c>
      <c r="J569" s="1" t="s">
        <v>4745</v>
      </c>
      <c r="K569">
        <v>-68.845681</v>
      </c>
      <c r="L569">
        <v>-32.894025</v>
      </c>
      <c r="N569" s="1" t="s">
        <v>4746</v>
      </c>
      <c r="O569">
        <f t="shared" si="1"/>
        <v>-32.894025</v>
      </c>
      <c r="P569">
        <f>IFERROR(__xludf.DUMMYFUNCTION("""COMPUTED_VALUE"""),-68.845681)</f>
        <v>-68.845681</v>
      </c>
      <c r="Q569" t="str">
        <f>IFERROR(__xludf.DUMMYFUNCTION("""COMPUTED_VALUE"""),"""Av, Colón 364")</f>
        <v>"Av, Colón 364</v>
      </c>
      <c r="R569" t="str">
        <f>IFERROR(__xludf.DUMMYFUNCTION("""COMPUTED_VALUE""")," Mendoza ")</f>
        <v> Mendoza </v>
      </c>
      <c r="S569" t="str">
        <f>IFERROR(__xludf.DUMMYFUNCTION("""COMPUTED_VALUE""")," Argentina""")</f>
        <v> Argentina"</v>
      </c>
      <c r="T569" t="str">
        <f>IFERROR(__xludf.DUMMYFUNCTION("""COMPUTED_VALUE"""),"""Avenida Colón")</f>
        <v>"Avenida Colón</v>
      </c>
      <c r="U569" t="str">
        <f>IFERROR(__xludf.DUMMYFUNCTION("""COMPUTED_VALUE""")," Ciudad de Mendoza")</f>
        <v> Ciudad de Mendoza</v>
      </c>
      <c r="V569" t="str">
        <f>IFERROR(__xludf.DUMMYFUNCTION("""COMPUTED_VALUE""")," Sección 2ª Barrio Cívico")</f>
        <v> Sección 2ª Barrio Cívico</v>
      </c>
      <c r="W569" t="str">
        <f>IFERROR(__xludf.DUMMYFUNCTION("""COMPUTED_VALUE""")," Mendoza")</f>
        <v> Mendoza</v>
      </c>
      <c r="X569" t="str">
        <f>IFERROR(__xludf.DUMMYFUNCTION("""COMPUTED_VALUE""")," AR""")</f>
        <v> AR"</v>
      </c>
    </row>
    <row r="570">
      <c r="A570" s="1">
        <v>1310.0</v>
      </c>
      <c r="B570" s="1" t="s">
        <v>248</v>
      </c>
      <c r="C570" s="1" t="s">
        <v>1103</v>
      </c>
      <c r="D570" s="1" t="s">
        <v>1103</v>
      </c>
      <c r="E570" s="1" t="s">
        <v>1104</v>
      </c>
      <c r="F570" s="1" t="s">
        <v>4453</v>
      </c>
      <c r="G570" s="1" t="s">
        <v>4747</v>
      </c>
      <c r="H570" s="1" t="s">
        <v>1103</v>
      </c>
      <c r="I570" s="1" t="s">
        <v>21</v>
      </c>
      <c r="J570" s="1" t="s">
        <v>4748</v>
      </c>
      <c r="K570">
        <v>-67.683115</v>
      </c>
      <c r="L570">
        <v>-34.974904</v>
      </c>
      <c r="N570" s="1" t="s">
        <v>4751</v>
      </c>
      <c r="O570">
        <f t="shared" si="1"/>
        <v>-34.974904</v>
      </c>
      <c r="P570">
        <f>IFERROR(__xludf.DUMMYFUNCTION("""COMPUTED_VALUE"""),-67.683115)</f>
        <v>-67.683115</v>
      </c>
      <c r="Q570" t="str">
        <f>IFERROR(__xludf.DUMMYFUNCTION("""COMPUTED_VALUE"""),"""España 1083")</f>
        <v>"España 1083</v>
      </c>
      <c r="R570" t="str">
        <f>IFERROR(__xludf.DUMMYFUNCTION("""COMPUTED_VALUE""")," Mendoza ")</f>
        <v> Mendoza </v>
      </c>
      <c r="S570" t="str">
        <f>IFERROR(__xludf.DUMMYFUNCTION("""COMPUTED_VALUE""")," Argentina""")</f>
        <v> Argentina"</v>
      </c>
      <c r="T570" t="str">
        <f>IFERROR(__xludf.DUMMYFUNCTION("""COMPUTED_VALUE"""),"""España")</f>
        <v>"España</v>
      </c>
      <c r="U570" t="str">
        <f>IFERROR(__xludf.DUMMYFUNCTION("""COMPUTED_VALUE""")," General Alvear")</f>
        <v> General Alvear</v>
      </c>
      <c r="V570" t="str">
        <f>IFERROR(__xludf.DUMMYFUNCTION("""COMPUTED_VALUE""")," Distrito Ciudad de General Alvear")</f>
        <v> Distrito Ciudad de General Alvear</v>
      </c>
      <c r="W570" t="str">
        <f>IFERROR(__xludf.DUMMYFUNCTION("""COMPUTED_VALUE""")," Mendoza")</f>
        <v> Mendoza</v>
      </c>
      <c r="X570" t="str">
        <f>IFERROR(__xludf.DUMMYFUNCTION("""COMPUTED_VALUE""")," AR""")</f>
        <v> AR"</v>
      </c>
    </row>
    <row r="571">
      <c r="A571" s="1">
        <v>1371.0</v>
      </c>
      <c r="D571" s="1" t="s">
        <v>4756</v>
      </c>
      <c r="E571" s="1" t="s">
        <v>1104</v>
      </c>
      <c r="F571" s="1" t="s">
        <v>4453</v>
      </c>
      <c r="G571" s="1" t="s">
        <v>4757</v>
      </c>
      <c r="I571" s="1" t="s">
        <v>21</v>
      </c>
      <c r="J571" s="1" t="s">
        <v>4758</v>
      </c>
      <c r="K571">
        <v>-100.445882</v>
      </c>
      <c r="L571">
        <v>39.78373</v>
      </c>
      <c r="N571" s="1" t="s">
        <v>4759</v>
      </c>
      <c r="O571">
        <f t="shared" si="1"/>
        <v>39.78373</v>
      </c>
      <c r="P571">
        <f>IFERROR(__xludf.DUMMYFUNCTION("""COMPUTED_VALUE"""),-100.445882)</f>
        <v>-100.445882</v>
      </c>
      <c r="Q571" t="str">
        <f>IFERROR(__xludf.DUMMYFUNCTION("""COMPUTED_VALUE"""),"""San Martín 1360 local 18 a 21")</f>
        <v>"San Martín 1360 local 18 a 21</v>
      </c>
      <c r="R571" t="str">
        <f>IFERROR(__xludf.DUMMYFUNCTION("""COMPUTED_VALUE""")," Mendoza ")</f>
        <v> Mendoza </v>
      </c>
      <c r="S571" t="str">
        <f>IFERROR(__xludf.DUMMYFUNCTION("""COMPUTED_VALUE""")," Argentina""")</f>
        <v> Argentina"</v>
      </c>
      <c r="T571" t="str">
        <f>IFERROR(__xludf.DUMMYFUNCTION("""COMPUTED_VALUE"""),"US")</f>
        <v>US</v>
      </c>
    </row>
    <row r="572">
      <c r="A572" s="1">
        <v>1380.0</v>
      </c>
      <c r="D572" s="1" t="s">
        <v>4764</v>
      </c>
      <c r="E572" s="1" t="s">
        <v>1104</v>
      </c>
      <c r="F572" s="1" t="s">
        <v>4453</v>
      </c>
      <c r="G572" s="1" t="s">
        <v>4765</v>
      </c>
      <c r="I572" s="1" t="s">
        <v>21</v>
      </c>
      <c r="J572" s="1" t="s">
        <v>4766</v>
      </c>
      <c r="K572">
        <v>-100.445882</v>
      </c>
      <c r="L572">
        <v>39.78373</v>
      </c>
      <c r="N572" s="1" t="s">
        <v>4767</v>
      </c>
      <c r="O572">
        <f t="shared" si="1"/>
        <v>39.78373</v>
      </c>
      <c r="P572">
        <f>IFERROR(__xludf.DUMMYFUNCTION("""COMPUTED_VALUE"""),-100.445882)</f>
        <v>-100.445882</v>
      </c>
      <c r="Q572" t="str">
        <f>IFERROR(__xludf.DUMMYFUNCTION("""COMPUTED_VALUE"""),"""San Martín 1167 local s44")</f>
        <v>"San Martín 1167 local s44</v>
      </c>
      <c r="R572" t="str">
        <f>IFERROR(__xludf.DUMMYFUNCTION("""COMPUTED_VALUE""")," Mendoza ")</f>
        <v> Mendoza </v>
      </c>
      <c r="S572" t="str">
        <f>IFERROR(__xludf.DUMMYFUNCTION("""COMPUTED_VALUE""")," Argentina""")</f>
        <v> Argentina"</v>
      </c>
      <c r="T572" t="str">
        <f>IFERROR(__xludf.DUMMYFUNCTION("""COMPUTED_VALUE"""),"US")</f>
        <v>US</v>
      </c>
    </row>
    <row r="573">
      <c r="A573" s="1">
        <v>1386.0</v>
      </c>
      <c r="D573" s="1" t="s">
        <v>4768</v>
      </c>
      <c r="E573" s="1" t="s">
        <v>1104</v>
      </c>
      <c r="F573" s="1" t="s">
        <v>4453</v>
      </c>
      <c r="G573" s="1" t="s">
        <v>4769</v>
      </c>
      <c r="I573" s="1" t="s">
        <v>21</v>
      </c>
      <c r="J573" s="1" t="s">
        <v>4770</v>
      </c>
      <c r="K573">
        <v>-100.445882</v>
      </c>
      <c r="L573">
        <v>39.78373</v>
      </c>
      <c r="N573" s="1" t="s">
        <v>4771</v>
      </c>
      <c r="O573">
        <f t="shared" si="1"/>
        <v>39.78373</v>
      </c>
      <c r="P573">
        <f>IFERROR(__xludf.DUMMYFUNCTION("""COMPUTED_VALUE"""),-100.445882)</f>
        <v>-100.445882</v>
      </c>
      <c r="Q573" t="str">
        <f>IFERROR(__xludf.DUMMYFUNCTION("""COMPUTED_VALUE"""),"""San Martín 1167 local s56")</f>
        <v>"San Martín 1167 local s56</v>
      </c>
      <c r="R573" t="str">
        <f>IFERROR(__xludf.DUMMYFUNCTION("""COMPUTED_VALUE""")," Mendoza ")</f>
        <v> Mendoza </v>
      </c>
      <c r="S573" t="str">
        <f>IFERROR(__xludf.DUMMYFUNCTION("""COMPUTED_VALUE""")," Argentina""")</f>
        <v> Argentina"</v>
      </c>
      <c r="T573" t="str">
        <f>IFERROR(__xludf.DUMMYFUNCTION("""COMPUTED_VALUE"""),"US")</f>
        <v>US</v>
      </c>
    </row>
    <row r="574">
      <c r="A574" s="1">
        <v>1439.0</v>
      </c>
      <c r="D574" s="1" t="s">
        <v>4775</v>
      </c>
      <c r="E574" s="1" t="s">
        <v>1104</v>
      </c>
      <c r="F574" s="1" t="s">
        <v>4453</v>
      </c>
      <c r="G574" s="1" t="s">
        <v>4776</v>
      </c>
      <c r="I574" s="1" t="s">
        <v>21</v>
      </c>
      <c r="J574" s="1" t="s">
        <v>4777</v>
      </c>
      <c r="K574">
        <v>-100.445882</v>
      </c>
      <c r="L574">
        <v>39.78373</v>
      </c>
      <c r="N574" s="1" t="s">
        <v>4778</v>
      </c>
      <c r="O574">
        <f t="shared" si="1"/>
        <v>39.78373</v>
      </c>
      <c r="P574">
        <f>IFERROR(__xludf.DUMMYFUNCTION("""COMPUTED_VALUE"""),-100.445882)</f>
        <v>-100.445882</v>
      </c>
      <c r="Q574" t="str">
        <f>IFERROR(__xludf.DUMMYFUNCTION("""COMPUTED_VALUE"""),"""San Martín 1167 local j 8/10")</f>
        <v>"San Martín 1167 local j 8/10</v>
      </c>
      <c r="R574" t="str">
        <f>IFERROR(__xludf.DUMMYFUNCTION("""COMPUTED_VALUE""")," Mendoza ")</f>
        <v> Mendoza </v>
      </c>
      <c r="S574" t="str">
        <f>IFERROR(__xludf.DUMMYFUNCTION("""COMPUTED_VALUE""")," Argentina""")</f>
        <v> Argentina"</v>
      </c>
      <c r="T574" t="str">
        <f>IFERROR(__xludf.DUMMYFUNCTION("""COMPUTED_VALUE"""),"US")</f>
        <v>US</v>
      </c>
    </row>
    <row r="575">
      <c r="A575" s="1">
        <v>1445.0</v>
      </c>
      <c r="D575" s="1" t="s">
        <v>4783</v>
      </c>
      <c r="E575" s="1" t="s">
        <v>1104</v>
      </c>
      <c r="F575" s="1" t="s">
        <v>4453</v>
      </c>
      <c r="G575" s="1" t="s">
        <v>4784</v>
      </c>
      <c r="I575" s="1" t="s">
        <v>21</v>
      </c>
      <c r="J575" s="1" t="s">
        <v>4785</v>
      </c>
      <c r="K575">
        <v>-100.445882</v>
      </c>
      <c r="L575">
        <v>39.78373</v>
      </c>
      <c r="N575" s="1" t="s">
        <v>4786</v>
      </c>
      <c r="O575">
        <f t="shared" si="1"/>
        <v>39.78373</v>
      </c>
      <c r="P575">
        <f>IFERROR(__xludf.DUMMYFUNCTION("""COMPUTED_VALUE"""),-100.445882)</f>
        <v>-100.445882</v>
      </c>
      <c r="Q575" t="str">
        <f>IFERROR(__xludf.DUMMYFUNCTION("""COMPUTED_VALUE"""),"""San Martín 1167 local j7")</f>
        <v>"San Martín 1167 local j7</v>
      </c>
      <c r="R575" t="str">
        <f>IFERROR(__xludf.DUMMYFUNCTION("""COMPUTED_VALUE""")," Mendoza ")</f>
        <v> Mendoza </v>
      </c>
      <c r="S575" t="str">
        <f>IFERROR(__xludf.DUMMYFUNCTION("""COMPUTED_VALUE""")," Argentina""")</f>
        <v> Argentina"</v>
      </c>
      <c r="T575" t="str">
        <f>IFERROR(__xludf.DUMMYFUNCTION("""COMPUTED_VALUE"""),"US")</f>
        <v>US</v>
      </c>
    </row>
    <row r="576">
      <c r="A576" s="1">
        <v>1483.0</v>
      </c>
      <c r="D576" s="1" t="s">
        <v>4790</v>
      </c>
      <c r="E576" s="1" t="s">
        <v>1104</v>
      </c>
      <c r="F576" s="1" t="s">
        <v>4453</v>
      </c>
      <c r="G576" s="1" t="s">
        <v>4792</v>
      </c>
      <c r="I576" s="1" t="s">
        <v>21</v>
      </c>
      <c r="J576" s="1" t="s">
        <v>4794</v>
      </c>
      <c r="K576">
        <v>-68.557455</v>
      </c>
      <c r="L576">
        <v>-33.052166</v>
      </c>
      <c r="N576" s="1" t="s">
        <v>4796</v>
      </c>
      <c r="O576">
        <f t="shared" si="1"/>
        <v>-33.052166</v>
      </c>
      <c r="P576">
        <f>IFERROR(__xludf.DUMMYFUNCTION("""COMPUTED_VALUE"""),-68.557455)</f>
        <v>-68.557455</v>
      </c>
      <c r="Q576" t="str">
        <f>IFERROR(__xludf.DUMMYFUNCTION("""COMPUTED_VALUE"""),"""San Martín 1245 local 70")</f>
        <v>"San Martín 1245 local 70</v>
      </c>
      <c r="R576" t="str">
        <f>IFERROR(__xludf.DUMMYFUNCTION("""COMPUTED_VALUE""")," Mendoza ")</f>
        <v> Mendoza </v>
      </c>
      <c r="S576" t="str">
        <f>IFERROR(__xludf.DUMMYFUNCTION("""COMPUTED_VALUE""")," Argentina""")</f>
        <v> Argentina"</v>
      </c>
      <c r="T576" t="str">
        <f>IFERROR(__xludf.DUMMYFUNCTION("""COMPUTED_VALUE"""),"""San Martín")</f>
        <v>"San Martín</v>
      </c>
      <c r="U576" t="str">
        <f>IFERROR(__xludf.DUMMYFUNCTION("""COMPUTED_VALUE""")," Distrito Palmira")</f>
        <v> Distrito Palmira</v>
      </c>
      <c r="V576" t="str">
        <f>IFERROR(__xludf.DUMMYFUNCTION("""COMPUTED_VALUE""")," Mendoza")</f>
        <v> Mendoza</v>
      </c>
      <c r="W576" t="str">
        <f>IFERROR(__xludf.DUMMYFUNCTION("""COMPUTED_VALUE""")," AR""")</f>
        <v> AR"</v>
      </c>
    </row>
    <row r="577">
      <c r="A577" s="1">
        <v>1489.0</v>
      </c>
      <c r="D577" s="1" t="s">
        <v>4799</v>
      </c>
      <c r="E577" s="1" t="s">
        <v>1104</v>
      </c>
      <c r="F577" s="1" t="s">
        <v>4453</v>
      </c>
      <c r="G577" s="1" t="s">
        <v>4801</v>
      </c>
      <c r="I577" s="1" t="s">
        <v>21</v>
      </c>
      <c r="J577" s="1" t="s">
        <v>4803</v>
      </c>
      <c r="K577">
        <v>-100.445882</v>
      </c>
      <c r="L577">
        <v>39.78373</v>
      </c>
      <c r="N577" s="1" t="s">
        <v>4804</v>
      </c>
      <c r="O577">
        <f t="shared" si="1"/>
        <v>39.78373</v>
      </c>
      <c r="P577">
        <f>IFERROR(__xludf.DUMMYFUNCTION("""COMPUTED_VALUE"""),-100.445882)</f>
        <v>-100.445882</v>
      </c>
      <c r="Q577" t="str">
        <f>IFERROR(__xludf.DUMMYFUNCTION("""COMPUTED_VALUE"""),"""San Martín 1245 local 76")</f>
        <v>"San Martín 1245 local 76</v>
      </c>
      <c r="R577" t="str">
        <f>IFERROR(__xludf.DUMMYFUNCTION("""COMPUTED_VALUE""")," Mendoza ")</f>
        <v> Mendoza </v>
      </c>
      <c r="S577" t="str">
        <f>IFERROR(__xludf.DUMMYFUNCTION("""COMPUTED_VALUE""")," Argentina""")</f>
        <v> Argentina"</v>
      </c>
      <c r="T577" t="str">
        <f>IFERROR(__xludf.DUMMYFUNCTION("""COMPUTED_VALUE"""),"US")</f>
        <v>US</v>
      </c>
    </row>
    <row r="578">
      <c r="A578" s="1">
        <v>1551.0</v>
      </c>
      <c r="D578" s="1" t="s">
        <v>4810</v>
      </c>
      <c r="E578" s="1" t="s">
        <v>1104</v>
      </c>
      <c r="F578" s="1" t="s">
        <v>4453</v>
      </c>
      <c r="G578" s="1" t="s">
        <v>4811</v>
      </c>
      <c r="I578" s="1" t="s">
        <v>21</v>
      </c>
      <c r="J578" s="1" t="s">
        <v>4812</v>
      </c>
      <c r="K578">
        <v>-68.780636</v>
      </c>
      <c r="L578">
        <v>-32.985448</v>
      </c>
      <c r="N578" s="1" t="s">
        <v>4813</v>
      </c>
      <c r="O578">
        <f t="shared" si="1"/>
        <v>-32.985448</v>
      </c>
      <c r="P578">
        <f>IFERROR(__xludf.DUMMYFUNCTION("""COMPUTED_VALUE"""),-68.780636)</f>
        <v>-68.780636</v>
      </c>
      <c r="Q578" t="str">
        <f>IFERROR(__xludf.DUMMYFUNCTION("""COMPUTED_VALUE"""),"""San Martín 1425 local 15")</f>
        <v>"San Martín 1425 local 15</v>
      </c>
      <c r="R578" t="str">
        <f>IFERROR(__xludf.DUMMYFUNCTION("""COMPUTED_VALUE""")," Mendoza ")</f>
        <v> Mendoza </v>
      </c>
      <c r="S578" t="str">
        <f>IFERROR(__xludf.DUMMYFUNCTION("""COMPUTED_VALUE""")," Argentina""")</f>
        <v> Argentina"</v>
      </c>
      <c r="T578" t="str">
        <f>IFERROR(__xludf.DUMMYFUNCTION("""COMPUTED_VALUE"""),"""San Martín")</f>
        <v>"San Martín</v>
      </c>
      <c r="U578" t="str">
        <f>IFERROR(__xludf.DUMMYFUNCTION("""COMPUTED_VALUE""")," Departamento Maipú")</f>
        <v> Departamento Maipú</v>
      </c>
      <c r="V578" t="str">
        <f>IFERROR(__xludf.DUMMYFUNCTION("""COMPUTED_VALUE""")," Mendoza")</f>
        <v> Mendoza</v>
      </c>
      <c r="W578" t="str">
        <f>IFERROR(__xludf.DUMMYFUNCTION("""COMPUTED_VALUE""")," AR""")</f>
        <v> AR"</v>
      </c>
    </row>
    <row r="579">
      <c r="A579" s="1">
        <v>1576.0</v>
      </c>
      <c r="D579" s="1" t="s">
        <v>4819</v>
      </c>
      <c r="E579" s="1" t="s">
        <v>1104</v>
      </c>
      <c r="F579" s="1" t="s">
        <v>4453</v>
      </c>
      <c r="G579" s="1" t="s">
        <v>4820</v>
      </c>
      <c r="I579" s="1" t="s">
        <v>21</v>
      </c>
      <c r="J579" s="1" t="s">
        <v>4821</v>
      </c>
      <c r="K579">
        <v>-100.445882</v>
      </c>
      <c r="L579">
        <v>39.78373</v>
      </c>
      <c r="N579" s="1" t="s">
        <v>4822</v>
      </c>
      <c r="O579">
        <f t="shared" si="1"/>
        <v>39.78373</v>
      </c>
      <c r="P579">
        <f>IFERROR(__xludf.DUMMYFUNCTION("""COMPUTED_VALUE"""),-100.445882)</f>
        <v>-100.445882</v>
      </c>
      <c r="Q579" t="str">
        <f>IFERROR(__xludf.DUMMYFUNCTION("""COMPUTED_VALUE"""),"""San Martín 1672 local 17")</f>
        <v>"San Martín 1672 local 17</v>
      </c>
      <c r="R579" t="str">
        <f>IFERROR(__xludf.DUMMYFUNCTION("""COMPUTED_VALUE""")," Mendoza ")</f>
        <v> Mendoza </v>
      </c>
      <c r="S579" t="str">
        <f>IFERROR(__xludf.DUMMYFUNCTION("""COMPUTED_VALUE""")," Argentina""")</f>
        <v> Argentina"</v>
      </c>
      <c r="T579" t="str">
        <f>IFERROR(__xludf.DUMMYFUNCTION("""COMPUTED_VALUE"""),"US")</f>
        <v>US</v>
      </c>
    </row>
    <row r="580">
      <c r="A580" s="1">
        <v>1606.0</v>
      </c>
      <c r="D580" s="1" t="s">
        <v>4827</v>
      </c>
      <c r="E580" s="1" t="s">
        <v>1104</v>
      </c>
      <c r="F580" s="1" t="s">
        <v>4453</v>
      </c>
      <c r="G580" s="1" t="s">
        <v>4828</v>
      </c>
      <c r="I580" s="1" t="s">
        <v>21</v>
      </c>
      <c r="J580" s="1" t="s">
        <v>4829</v>
      </c>
      <c r="K580">
        <v>-68.557455</v>
      </c>
      <c r="L580">
        <v>-33.052166</v>
      </c>
      <c r="N580" s="1" t="s">
        <v>4830</v>
      </c>
      <c r="O580">
        <f t="shared" si="1"/>
        <v>-33.052166</v>
      </c>
      <c r="P580">
        <f>IFERROR(__xludf.DUMMYFUNCTION("""COMPUTED_VALUE"""),-68.557455)</f>
        <v>-68.557455</v>
      </c>
      <c r="Q580" t="str">
        <f>IFERROR(__xludf.DUMMYFUNCTION("""COMPUTED_VALUE"""),"""San Martín 1136 local 28")</f>
        <v>"San Martín 1136 local 28</v>
      </c>
      <c r="R580" t="str">
        <f>IFERROR(__xludf.DUMMYFUNCTION("""COMPUTED_VALUE""")," Mendoza ")</f>
        <v> Mendoza </v>
      </c>
      <c r="S580" t="str">
        <f>IFERROR(__xludf.DUMMYFUNCTION("""COMPUTED_VALUE""")," Argentina""")</f>
        <v> Argentina"</v>
      </c>
      <c r="T580" t="str">
        <f>IFERROR(__xludf.DUMMYFUNCTION("""COMPUTED_VALUE"""),"""San Martín")</f>
        <v>"San Martín</v>
      </c>
      <c r="U580" t="str">
        <f>IFERROR(__xludf.DUMMYFUNCTION("""COMPUTED_VALUE""")," Distrito Palmira")</f>
        <v> Distrito Palmira</v>
      </c>
      <c r="V580" t="str">
        <f>IFERROR(__xludf.DUMMYFUNCTION("""COMPUTED_VALUE""")," Mendoza")</f>
        <v> Mendoza</v>
      </c>
      <c r="W580" t="str">
        <f>IFERROR(__xludf.DUMMYFUNCTION("""COMPUTED_VALUE""")," AR""")</f>
        <v> AR"</v>
      </c>
    </row>
    <row r="581">
      <c r="A581" s="1">
        <v>1627.0</v>
      </c>
      <c r="D581" s="1" t="s">
        <v>4832</v>
      </c>
      <c r="E581" s="1" t="s">
        <v>1104</v>
      </c>
      <c r="F581" s="1" t="s">
        <v>4453</v>
      </c>
      <c r="G581" s="1" t="s">
        <v>4833</v>
      </c>
      <c r="I581" s="1" t="s">
        <v>21</v>
      </c>
      <c r="J581" s="1" t="s">
        <v>4834</v>
      </c>
      <c r="K581">
        <v>-69.445882</v>
      </c>
      <c r="L581">
        <v>-39.78373</v>
      </c>
      <c r="N581" s="1" t="s">
        <v>4835</v>
      </c>
      <c r="O581">
        <f t="shared" si="1"/>
        <v>-39.78373</v>
      </c>
      <c r="P581">
        <f>IFERROR(__xludf.DUMMYFUNCTION("""COMPUTED_VALUE"""),-69.445882)</f>
        <v>-69.445882</v>
      </c>
      <c r="Q581" t="str">
        <f>IFERROR(__xludf.DUMMYFUNCTION("""COMPUTED_VALUE"""),"""San Martín 1027 local 39-40")</f>
        <v>"San Martín 1027 local 39-40</v>
      </c>
      <c r="R581" t="str">
        <f>IFERROR(__xludf.DUMMYFUNCTION("""COMPUTED_VALUE""")," Mendoza ")</f>
        <v> Mendoza </v>
      </c>
      <c r="S581" t="str">
        <f>IFERROR(__xludf.DUMMYFUNCTION("""COMPUTED_VALUE""")," Argentina""")</f>
        <v> Argentina"</v>
      </c>
      <c r="T581" t="str">
        <f>IFERROR(__xludf.DUMMYFUNCTION("""COMPUTED_VALUE"""),"US")</f>
        <v>US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1" t="s">
        <v>1278</v>
      </c>
    </row>
    <row r="2">
      <c r="A2" s="1">
        <v>2.0</v>
      </c>
      <c r="B2" s="1" t="s">
        <v>12</v>
      </c>
      <c r="C2" s="1">
        <v>1.0</v>
      </c>
      <c r="D2" s="1" t="s">
        <v>126</v>
      </c>
      <c r="E2" s="1" t="s">
        <v>1282</v>
      </c>
      <c r="F2" s="1" t="s">
        <v>129</v>
      </c>
      <c r="G2" s="1" t="s">
        <v>130</v>
      </c>
      <c r="H2" s="1" t="s">
        <v>132</v>
      </c>
      <c r="I2" s="1" t="s">
        <v>21</v>
      </c>
      <c r="J2" s="1" t="s">
        <v>133</v>
      </c>
      <c r="K2">
        <v>-68.844678</v>
      </c>
      <c r="L2">
        <v>-32.907039</v>
      </c>
      <c r="N2" s="1" t="s">
        <v>1291</v>
      </c>
      <c r="O2">
        <f t="shared" ref="O2:O97" si="1">IFERROR(__xludf.DUMMYFUNCTION("SPLIT(N2,"";"")"),-32.907039)</f>
        <v>-32.907039</v>
      </c>
      <c r="P2">
        <f>IFERROR(__xludf.DUMMYFUNCTION("""COMPUTED_VALUE"""),-68.844678)</f>
        <v>-68.844678</v>
      </c>
      <c r="Q2" t="str">
        <f>IFERROR(__xludf.DUMMYFUNCTION("""COMPUTED_VALUE"""),"Juan B, Justo 71, Mendoza , Argentina")</f>
        <v>Juan B, Justo 71, Mendoza , Argentina</v>
      </c>
      <c r="R2" t="str">
        <f>IFERROR(__xludf.DUMMYFUNCTION("""COMPUTED_VALUE"""),"Juan B, Justo 71, Villa Mercedes, Departamento Godoy Cruz, Mendoza, AR")</f>
        <v>Juan B, Justo 71, Villa Mercedes, Departamento Godoy Cruz, Mendoza, AR</v>
      </c>
    </row>
    <row r="3">
      <c r="A3" s="1">
        <v>41.0</v>
      </c>
      <c r="B3" s="1" t="s">
        <v>12</v>
      </c>
      <c r="C3" s="1">
        <v>8.0</v>
      </c>
      <c r="D3" s="1" t="s">
        <v>138</v>
      </c>
      <c r="E3" s="1" t="s">
        <v>1282</v>
      </c>
      <c r="F3" s="1" t="s">
        <v>129</v>
      </c>
      <c r="G3" s="1" t="s">
        <v>141</v>
      </c>
      <c r="H3" s="1" t="s">
        <v>141</v>
      </c>
      <c r="I3" s="1" t="s">
        <v>21</v>
      </c>
      <c r="J3" s="1" t="s">
        <v>142</v>
      </c>
      <c r="K3">
        <v>-100.445882</v>
      </c>
      <c r="L3">
        <v>39.78373</v>
      </c>
      <c r="N3" s="1" t="s">
        <v>1339</v>
      </c>
      <c r="O3">
        <f t="shared" si="1"/>
        <v>39.78373</v>
      </c>
      <c r="P3">
        <f>IFERROR(__xludf.DUMMYFUNCTION("""COMPUTED_VALUE"""),-100.445882)</f>
        <v>-100.445882</v>
      </c>
      <c r="Q3" t="str">
        <f>IFERROR(__xludf.DUMMYFUNCTION("""COMPUTED_VALUE"""),"Juan B, Justo Esquina Paso de los Andes, Mendoza , Argentina")</f>
        <v>Juan B, Justo Esquina Paso de los Andes, Mendoza , Argentina</v>
      </c>
      <c r="R3" t="str">
        <f>IFERROR(__xludf.DUMMYFUNCTION("""COMPUTED_VALUE"""),"US")</f>
        <v>US</v>
      </c>
    </row>
    <row r="4">
      <c r="A4" s="1">
        <v>327.0</v>
      </c>
      <c r="B4" s="1" t="s">
        <v>51</v>
      </c>
      <c r="C4" s="1">
        <v>6.0</v>
      </c>
      <c r="D4" s="1" t="s">
        <v>148</v>
      </c>
      <c r="E4" s="1" t="s">
        <v>1282</v>
      </c>
      <c r="F4" s="1" t="s">
        <v>129</v>
      </c>
      <c r="G4" s="1" t="s">
        <v>150</v>
      </c>
      <c r="H4" s="1" t="s">
        <v>150</v>
      </c>
      <c r="I4" s="1" t="s">
        <v>21</v>
      </c>
      <c r="J4" s="1" t="s">
        <v>151</v>
      </c>
      <c r="K4">
        <v>-100.445882</v>
      </c>
      <c r="L4">
        <v>39.78373</v>
      </c>
      <c r="N4" s="1" t="s">
        <v>1349</v>
      </c>
      <c r="O4">
        <f t="shared" si="1"/>
        <v>39.78373</v>
      </c>
      <c r="P4">
        <f>IFERROR(__xludf.DUMMYFUNCTION("""COMPUTED_VALUE"""),-100.445882)</f>
        <v>-100.445882</v>
      </c>
      <c r="Q4" t="str">
        <f>IFERROR(__xludf.DUMMYFUNCTION("""COMPUTED_VALUE"""),"Peatonal Sarmiento 56, Mendoza , Argentina")</f>
        <v>Peatonal Sarmiento 56, Mendoza , Argentina</v>
      </c>
      <c r="R4" t="str">
        <f>IFERROR(__xludf.DUMMYFUNCTION("""COMPUTED_VALUE"""),"US")</f>
        <v>US</v>
      </c>
    </row>
    <row r="5">
      <c r="A5" s="1">
        <v>349.0</v>
      </c>
      <c r="B5" s="1" t="s">
        <v>154</v>
      </c>
      <c r="C5" s="1">
        <v>4.0</v>
      </c>
      <c r="D5" s="1" t="s">
        <v>155</v>
      </c>
      <c r="E5" s="1" t="s">
        <v>1282</v>
      </c>
      <c r="F5" s="1" t="s">
        <v>129</v>
      </c>
      <c r="G5" s="1" t="s">
        <v>158</v>
      </c>
      <c r="H5" s="1" t="s">
        <v>158</v>
      </c>
      <c r="I5" s="1" t="s">
        <v>21</v>
      </c>
      <c r="J5" s="1" t="s">
        <v>160</v>
      </c>
      <c r="K5">
        <v>-100.445882</v>
      </c>
      <c r="L5">
        <v>39.78373</v>
      </c>
      <c r="N5" s="1" t="s">
        <v>1367</v>
      </c>
      <c r="O5">
        <f t="shared" si="1"/>
        <v>39.78373</v>
      </c>
      <c r="P5">
        <f>IFERROR(__xludf.DUMMYFUNCTION("""COMPUTED_VALUE"""),-100.445882)</f>
        <v>-100.445882</v>
      </c>
      <c r="Q5" t="str">
        <f>IFERROR(__xludf.DUMMYFUNCTION("""COMPUTED_VALUE"""),"Belgrano y Av, Sarmiento 1095, Mendoza , Argentina")</f>
        <v>Belgrano y Av, Sarmiento 1095, Mendoza , Argentina</v>
      </c>
      <c r="R5" t="str">
        <f>IFERROR(__xludf.DUMMYFUNCTION("""COMPUTED_VALUE"""),"US")</f>
        <v>US</v>
      </c>
    </row>
    <row r="6">
      <c r="A6" s="1">
        <v>390.0</v>
      </c>
      <c r="B6" s="1" t="s">
        <v>24</v>
      </c>
      <c r="C6" s="1">
        <v>3.0</v>
      </c>
      <c r="D6" s="1" t="s">
        <v>163</v>
      </c>
      <c r="E6" s="1" t="s">
        <v>1282</v>
      </c>
      <c r="F6" s="1" t="s">
        <v>129</v>
      </c>
      <c r="G6" s="1" t="s">
        <v>164</v>
      </c>
      <c r="H6" s="1" t="s">
        <v>164</v>
      </c>
      <c r="I6" s="1" t="s">
        <v>21</v>
      </c>
      <c r="J6" s="1" t="s">
        <v>166</v>
      </c>
      <c r="K6">
        <v>-68.855303</v>
      </c>
      <c r="L6">
        <v>-32.892117</v>
      </c>
      <c r="N6" s="1" t="s">
        <v>1386</v>
      </c>
      <c r="O6">
        <f t="shared" si="1"/>
        <v>-32.892117</v>
      </c>
      <c r="P6">
        <f>IFERROR(__xludf.DUMMYFUNCTION("""COMPUTED_VALUE"""),-68.855303)</f>
        <v>-68.855303</v>
      </c>
      <c r="Q6" t="str">
        <f>IFERROR(__xludf.DUMMYFUNCTION("""COMPUTED_VALUE"""),"Arístides Villanueva 331, Mendoza , Argentina")</f>
        <v>Arístides Villanueva 331, Mendoza , Argentina</v>
      </c>
      <c r="R6" t="str">
        <f>IFERROR(__xludf.DUMMYFUNCTION("""COMPUTED_VALUE"""),"Arístides Villanueva 331, Ciudad de Mendoza, Sección 5ª Residencial Sur, Mendoza, AR")</f>
        <v>Arístides Villanueva 331, Ciudad de Mendoza, Sección 5ª Residencial Sur, Mendoza, AR</v>
      </c>
    </row>
    <row r="7">
      <c r="A7" s="1">
        <v>493.0</v>
      </c>
      <c r="B7" s="1" t="s">
        <v>109</v>
      </c>
      <c r="C7" s="1">
        <v>2.0</v>
      </c>
      <c r="D7" s="1" t="s">
        <v>168</v>
      </c>
      <c r="E7" s="1" t="s">
        <v>1282</v>
      </c>
      <c r="F7" s="1" t="s">
        <v>129</v>
      </c>
      <c r="G7" s="1" t="s">
        <v>170</v>
      </c>
      <c r="H7" s="1" t="s">
        <v>170</v>
      </c>
      <c r="I7" s="1" t="s">
        <v>21</v>
      </c>
      <c r="J7" s="1" t="s">
        <v>172</v>
      </c>
      <c r="K7">
        <v>-68.839673</v>
      </c>
      <c r="L7">
        <v>-32.891753</v>
      </c>
      <c r="N7" s="1" t="s">
        <v>1408</v>
      </c>
      <c r="O7">
        <f t="shared" si="1"/>
        <v>-32.891753</v>
      </c>
      <c r="P7">
        <f>IFERROR(__xludf.DUMMYFUNCTION("""COMPUTED_VALUE"""),-68.839673)</f>
        <v>-68.839673</v>
      </c>
      <c r="Q7" t="str">
        <f>IFERROR(__xludf.DUMMYFUNCTION("""COMPUTED_VALUE"""),"Av, San Martín 1001, Mendoza , Argentina")</f>
        <v>Av, San Martín 1001, Mendoza , Argentina</v>
      </c>
      <c r="R7" t="str">
        <f>IFERROR(__xludf.DUMMYFUNCTION("""COMPUTED_VALUE"""),"Avenida San Martín 1001, Ciudad de Mendoza, Sección 3ª Parque O'Higgins, Mendoza, AR")</f>
        <v>Avenida San Martín 1001, Ciudad de Mendoza, Sección 3ª Parque O'Higgins, Mendoza, AR</v>
      </c>
    </row>
    <row r="8">
      <c r="A8" s="1">
        <v>513.0</v>
      </c>
      <c r="B8" s="1" t="s">
        <v>109</v>
      </c>
      <c r="C8" s="1">
        <v>5.0</v>
      </c>
      <c r="D8" s="1" t="s">
        <v>175</v>
      </c>
      <c r="E8" s="1" t="s">
        <v>1282</v>
      </c>
      <c r="F8" s="1" t="s">
        <v>129</v>
      </c>
      <c r="G8" s="1" t="s">
        <v>176</v>
      </c>
      <c r="H8" s="1" t="s">
        <v>176</v>
      </c>
      <c r="I8" s="1" t="s">
        <v>21</v>
      </c>
      <c r="J8" s="1" t="s">
        <v>179</v>
      </c>
      <c r="K8">
        <v>-68.838561</v>
      </c>
      <c r="L8">
        <v>-32.88754</v>
      </c>
      <c r="N8" s="1" t="s">
        <v>1424</v>
      </c>
      <c r="O8">
        <f t="shared" si="1"/>
        <v>-32.88754</v>
      </c>
      <c r="P8">
        <f>IFERROR(__xludf.DUMMYFUNCTION("""COMPUTED_VALUE"""),-68.838561)</f>
        <v>-68.838561</v>
      </c>
      <c r="Q8" t="str">
        <f>IFERROR(__xludf.DUMMYFUNCTION("""COMPUTED_VALUE"""),"Av, San Martín 1399, Mendoza , Argentina")</f>
        <v>Av, San Martín 1399, Mendoza , Argentina</v>
      </c>
      <c r="R8" t="str">
        <f>IFERROR(__xludf.DUMMYFUNCTION("""COMPUTED_VALUE"""),"Avenida San Martín 1399, Ciudad de Mendoza, Sección 3ª Parque O'Higgins, Mendoza, AR")</f>
        <v>Avenida San Martín 1399, Ciudad de Mendoza, Sección 3ª Parque O'Higgins, Mendoza, AR</v>
      </c>
    </row>
    <row r="9">
      <c r="A9" s="1">
        <v>522.0</v>
      </c>
      <c r="B9" s="1" t="s">
        <v>109</v>
      </c>
      <c r="C9" s="1">
        <v>5.0</v>
      </c>
      <c r="D9" s="1" t="s">
        <v>168</v>
      </c>
      <c r="E9" s="1" t="s">
        <v>1282</v>
      </c>
      <c r="F9" s="1" t="s">
        <v>129</v>
      </c>
      <c r="G9" s="1" t="s">
        <v>184</v>
      </c>
      <c r="H9" s="1" t="s">
        <v>185</v>
      </c>
      <c r="I9" s="1" t="s">
        <v>21</v>
      </c>
      <c r="J9" s="1" t="s">
        <v>186</v>
      </c>
      <c r="K9">
        <v>-68.83804</v>
      </c>
      <c r="L9">
        <v>-32.885271</v>
      </c>
      <c r="N9" s="1" t="s">
        <v>1440</v>
      </c>
      <c r="O9">
        <f t="shared" si="1"/>
        <v>-32.885271</v>
      </c>
      <c r="P9">
        <f>IFERROR(__xludf.DUMMYFUNCTION("""COMPUTED_VALUE"""),-68.83804)</f>
        <v>-68.83804</v>
      </c>
      <c r="Q9" t="str">
        <f>IFERROR(__xludf.DUMMYFUNCTION("""COMPUTED_VALUE"""),"Av, San Martín 1303, Mendoza , Argentina")</f>
        <v>Av, San Martín 1303, Mendoza , Argentina</v>
      </c>
      <c r="R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0">
      <c r="A10" s="1">
        <v>583.0</v>
      </c>
      <c r="B10" s="1" t="s">
        <v>109</v>
      </c>
      <c r="C10" s="1">
        <v>9.0</v>
      </c>
      <c r="D10" s="1" t="s">
        <v>191</v>
      </c>
      <c r="E10" s="1" t="s">
        <v>1282</v>
      </c>
      <c r="F10" s="1" t="s">
        <v>129</v>
      </c>
      <c r="G10" s="1" t="s">
        <v>194</v>
      </c>
      <c r="H10" s="1" t="s">
        <v>194</v>
      </c>
      <c r="I10" s="1" t="s">
        <v>21</v>
      </c>
      <c r="J10" s="1" t="s">
        <v>196</v>
      </c>
      <c r="K10">
        <v>-68.838371</v>
      </c>
      <c r="L10">
        <v>-32.886045</v>
      </c>
      <c r="N10" s="1" t="s">
        <v>1456</v>
      </c>
      <c r="O10">
        <f t="shared" si="1"/>
        <v>-32.886045</v>
      </c>
      <c r="P10">
        <f>IFERROR(__xludf.DUMMYFUNCTION("""COMPUTED_VALUE"""),-68.838371)</f>
        <v>-68.838371</v>
      </c>
      <c r="Q10" t="str">
        <f>IFERROR(__xludf.DUMMYFUNCTION("""COMPUTED_VALUE"""),"Av, San Martín 1516, Mendoza , Argentina")</f>
        <v>Av, San Martín 1516, Mendoza , Argentina</v>
      </c>
      <c r="R10" t="str">
        <f>IFERROR(__xludf.DUMMYFUNCTION("""COMPUTED_VALUE"""),"Avenida San Martín 1516, Ciudad de Mendoza, Sección 3ª Parque O'Higgins, Mendoza, AR")</f>
        <v>Avenida San Martín 1516, Ciudad de Mendoza, Sección 3ª Parque O'Higgins, Mendoza, AR</v>
      </c>
    </row>
    <row r="11">
      <c r="A11" s="1">
        <v>597.0</v>
      </c>
      <c r="B11" s="1" t="s">
        <v>109</v>
      </c>
      <c r="C11" s="1">
        <v>10.0</v>
      </c>
      <c r="D11" s="1" t="s">
        <v>202</v>
      </c>
      <c r="E11" s="1" t="s">
        <v>1282</v>
      </c>
      <c r="F11" s="1" t="s">
        <v>129</v>
      </c>
      <c r="G11" s="1" t="s">
        <v>204</v>
      </c>
      <c r="H11" s="1" t="s">
        <v>204</v>
      </c>
      <c r="I11" s="1" t="s">
        <v>21</v>
      </c>
      <c r="J11" s="1" t="s">
        <v>206</v>
      </c>
      <c r="K11">
        <v>-68.838569</v>
      </c>
      <c r="L11">
        <v>-32.88691</v>
      </c>
      <c r="N11" s="1" t="s">
        <v>1470</v>
      </c>
      <c r="O11">
        <f t="shared" si="1"/>
        <v>-32.88691</v>
      </c>
      <c r="P11">
        <f>IFERROR(__xludf.DUMMYFUNCTION("""COMPUTED_VALUE"""),-68.838569)</f>
        <v>-68.838569</v>
      </c>
      <c r="Q11" t="str">
        <f>IFERROR(__xludf.DUMMYFUNCTION("""COMPUTED_VALUE"""),"Av, San Martín 1450, Mendoza , Argentina")</f>
        <v>Av, San Martín 1450, Mendoza , Argentina</v>
      </c>
      <c r="R11" t="str">
        <f>IFERROR(__xludf.DUMMYFUNCTION("""COMPUTED_VALUE"""),"Avenida San Martín 1450, Ciudad de Mendoza, Sección 3ª Parque O'Higgins, Mendoza, AR")</f>
        <v>Avenida San Martín 1450, Ciudad de Mendoza, Sección 3ª Parque O'Higgins, Mendoza, AR</v>
      </c>
    </row>
    <row r="12">
      <c r="A12" s="1">
        <v>617.0</v>
      </c>
      <c r="B12" s="1" t="s">
        <v>109</v>
      </c>
      <c r="C12" s="1">
        <v>12.0</v>
      </c>
      <c r="D12" s="1" t="s">
        <v>191</v>
      </c>
      <c r="E12" s="1" t="s">
        <v>1282</v>
      </c>
      <c r="F12" s="1" t="s">
        <v>129</v>
      </c>
      <c r="G12" s="1" t="s">
        <v>210</v>
      </c>
      <c r="H12" s="1" t="s">
        <v>210</v>
      </c>
      <c r="I12" s="1" t="s">
        <v>21</v>
      </c>
      <c r="J12" s="1" t="s">
        <v>211</v>
      </c>
      <c r="K12">
        <v>-68.839072</v>
      </c>
      <c r="L12">
        <v>-32.888766</v>
      </c>
      <c r="N12" s="1" t="s">
        <v>1487</v>
      </c>
      <c r="O12">
        <f t="shared" si="1"/>
        <v>-32.888766</v>
      </c>
      <c r="P12">
        <f>IFERROR(__xludf.DUMMYFUNCTION("""COMPUTED_VALUE"""),-68.839072)</f>
        <v>-68.839072</v>
      </c>
      <c r="Q12" t="str">
        <f>IFERROR(__xludf.DUMMYFUNCTION("""COMPUTED_VALUE"""),"Av, San Martín 1288, Mendoza , Argentina")</f>
        <v>Av, San Martín 1288, Mendoza , Argentina</v>
      </c>
      <c r="R12" t="str">
        <f>IFERROR(__xludf.DUMMYFUNCTION("""COMPUTED_VALUE"""),"Avenida San Martín 1288, Ciudad de Mendoza, Sección 3ª Parque O'Higgins, Mendoza, AR")</f>
        <v>Avenida San Martín 1288, Ciudad de Mendoza, Sección 3ª Parque O'Higgins, Mendoza, AR</v>
      </c>
    </row>
    <row r="13">
      <c r="A13" s="1">
        <v>667.0</v>
      </c>
      <c r="B13" s="1" t="s">
        <v>36</v>
      </c>
      <c r="C13" s="1">
        <v>1.0</v>
      </c>
      <c r="D13" s="1" t="s">
        <v>216</v>
      </c>
      <c r="E13" s="1" t="s">
        <v>1282</v>
      </c>
      <c r="F13" s="1" t="s">
        <v>129</v>
      </c>
      <c r="G13" s="1" t="s">
        <v>218</v>
      </c>
      <c r="H13" s="1" t="s">
        <v>218</v>
      </c>
      <c r="I13" s="1" t="s">
        <v>21</v>
      </c>
      <c r="J13" s="1" t="s">
        <v>220</v>
      </c>
      <c r="K13">
        <v>-68.837251</v>
      </c>
      <c r="L13">
        <v>-32.882265</v>
      </c>
      <c r="N13" s="1" t="s">
        <v>1505</v>
      </c>
      <c r="O13">
        <f t="shared" si="1"/>
        <v>-32.882265</v>
      </c>
      <c r="P13">
        <f>IFERROR(__xludf.DUMMYFUNCTION("""COMPUTED_VALUE"""),-68.837251)</f>
        <v>-68.837251</v>
      </c>
      <c r="Q13" t="str">
        <f>IFERROR(__xludf.DUMMYFUNCTION("""COMPUTED_VALUE"""),"Av, San Martín 1659, Mendoza , Argentina")</f>
        <v>Av, San Martín 1659, Mendoza , Argentina</v>
      </c>
      <c r="R13" t="str">
        <f>IFERROR(__xludf.DUMMYFUNCTION("""COMPUTED_VALUE"""),"Avenida San Martín, Ciudad de Mendoza, Sección 1ª Parque Central, Mendoza, AR")</f>
        <v>Avenida San Martín, Ciudad de Mendoza, Sección 1ª Parque Central, Mendoza, AR</v>
      </c>
    </row>
    <row r="14">
      <c r="A14" s="1">
        <v>757.0</v>
      </c>
      <c r="B14" s="1" t="s">
        <v>36</v>
      </c>
      <c r="C14" s="1">
        <v>13.0</v>
      </c>
      <c r="D14" s="1" t="s">
        <v>225</v>
      </c>
      <c r="E14" s="1" t="s">
        <v>1282</v>
      </c>
      <c r="F14" s="1" t="s">
        <v>129</v>
      </c>
      <c r="G14" s="1" t="s">
        <v>228</v>
      </c>
      <c r="H14" s="1" t="s">
        <v>228</v>
      </c>
      <c r="I14" s="1" t="s">
        <v>21</v>
      </c>
      <c r="J14" s="1" t="s">
        <v>230</v>
      </c>
      <c r="K14">
        <v>-68.837276</v>
      </c>
      <c r="L14">
        <v>-32.882096</v>
      </c>
      <c r="N14" s="1" t="s">
        <v>1516</v>
      </c>
      <c r="O14">
        <f t="shared" si="1"/>
        <v>-32.882096</v>
      </c>
      <c r="P14">
        <f>IFERROR(__xludf.DUMMYFUNCTION("""COMPUTED_VALUE"""),-68.837276)</f>
        <v>-68.837276</v>
      </c>
      <c r="Q14" t="str">
        <f>IFERROR(__xludf.DUMMYFUNCTION("""COMPUTED_VALUE"""),"Av, San Martín 1818, Mendoza , Argentina")</f>
        <v>Av, San Martín 1818, Mendoza , Argentina</v>
      </c>
      <c r="R14" t="str">
        <f>IFERROR(__xludf.DUMMYFUNCTION("""COMPUTED_VALUE"""),"Avenida San Martín 1818, Ciudad de Mendoza, Sección 1ª Parque Central, Mendoza, AR")</f>
        <v>Avenida San Martín 1818, Ciudad de Mendoza, Sección 1ª Parque Central, Mendoza, AR</v>
      </c>
    </row>
    <row r="15">
      <c r="A15" s="1">
        <v>812.0</v>
      </c>
      <c r="B15" s="1" t="s">
        <v>55</v>
      </c>
      <c r="C15" s="1">
        <v>3.0</v>
      </c>
      <c r="D15" s="1" t="s">
        <v>236</v>
      </c>
      <c r="E15" s="1" t="s">
        <v>1282</v>
      </c>
      <c r="F15" s="1" t="s">
        <v>129</v>
      </c>
      <c r="G15" s="1" t="s">
        <v>238</v>
      </c>
      <c r="H15" s="1" t="s">
        <v>238</v>
      </c>
      <c r="I15" s="1" t="s">
        <v>21</v>
      </c>
      <c r="J15" s="1" t="s">
        <v>241</v>
      </c>
      <c r="K15">
        <v>-68.840945</v>
      </c>
      <c r="L15">
        <v>-32.885793</v>
      </c>
      <c r="N15" s="1" t="s">
        <v>1527</v>
      </c>
      <c r="O15">
        <f t="shared" si="1"/>
        <v>-32.885793</v>
      </c>
      <c r="P15">
        <f>IFERROR(__xludf.DUMMYFUNCTION("""COMPUTED_VALUE"""),-68.840945)</f>
        <v>-68.840945</v>
      </c>
      <c r="Q15" t="str">
        <f>IFERROR(__xludf.DUMMYFUNCTION("""COMPUTED_VALUE"""),"Av, Las Heras 201, Mendoza , Argentina")</f>
        <v>Av, Las Heras 201, Mendoza , Argentina</v>
      </c>
      <c r="R15" t="str">
        <f>IFERROR(__xludf.DUMMYFUNCTION("""COMPUTED_VALUE"""),"Avenida Las Heras 201, Ciudad de Mendoza, Sección 1ª Parque Central, Mendoza, AR")</f>
        <v>Avenida Las Heras 201, Ciudad de Mendoza, Sección 1ª Parque Central, Mendoza, AR</v>
      </c>
    </row>
    <row r="16">
      <c r="A16" s="1">
        <v>838.0</v>
      </c>
      <c r="B16" s="1" t="s">
        <v>55</v>
      </c>
      <c r="C16" s="1">
        <v>4.0</v>
      </c>
      <c r="D16" s="1" t="s">
        <v>246</v>
      </c>
      <c r="E16" s="1" t="s">
        <v>1282</v>
      </c>
      <c r="F16" s="1" t="s">
        <v>129</v>
      </c>
      <c r="G16" s="1" t="s">
        <v>249</v>
      </c>
      <c r="H16" s="1" t="s">
        <v>249</v>
      </c>
      <c r="I16" s="1" t="s">
        <v>21</v>
      </c>
      <c r="J16" s="1" t="s">
        <v>251</v>
      </c>
      <c r="K16">
        <v>-68.842561</v>
      </c>
      <c r="L16">
        <v>-32.885514</v>
      </c>
      <c r="N16" s="1" t="s">
        <v>1535</v>
      </c>
      <c r="O16">
        <f t="shared" si="1"/>
        <v>-32.885514</v>
      </c>
      <c r="P16">
        <f>IFERROR(__xludf.DUMMYFUNCTION("""COMPUTED_VALUE"""),-68.842561)</f>
        <v>-68.842561</v>
      </c>
      <c r="Q16" t="str">
        <f>IFERROR(__xludf.DUMMYFUNCTION("""COMPUTED_VALUE"""),"Av, Las Heras 323, Mendoza , Argentina")</f>
        <v>Av, Las Heras 323, Mendoza , Argentina</v>
      </c>
      <c r="R16" t="str">
        <f>IFERROR(__xludf.DUMMYFUNCTION("""COMPUTED_VALUE"""),"Avenida Las Heras 323, Ciudad de Mendoza, Sección 1ª Parque Central, Mendoza, AR")</f>
        <v>Avenida Las Heras 323, Ciudad de Mendoza, Sección 1ª Parque Central, Mendoza, AR</v>
      </c>
    </row>
    <row r="17">
      <c r="A17" s="1">
        <v>859.0</v>
      </c>
      <c r="B17" s="1" t="s">
        <v>55</v>
      </c>
      <c r="C17" s="1">
        <v>6.0</v>
      </c>
      <c r="D17" s="1" t="s">
        <v>256</v>
      </c>
      <c r="E17" s="1" t="s">
        <v>1282</v>
      </c>
      <c r="F17" s="1" t="s">
        <v>129</v>
      </c>
      <c r="G17" s="1" t="s">
        <v>257</v>
      </c>
      <c r="H17" s="1" t="s">
        <v>257</v>
      </c>
      <c r="I17" s="1" t="s">
        <v>21</v>
      </c>
      <c r="J17" s="1" t="s">
        <v>260</v>
      </c>
      <c r="K17">
        <v>-68.844661</v>
      </c>
      <c r="L17">
        <v>-32.885196</v>
      </c>
      <c r="N17" s="1" t="s">
        <v>1544</v>
      </c>
      <c r="O17">
        <f t="shared" si="1"/>
        <v>-32.885196</v>
      </c>
      <c r="P17">
        <f>IFERROR(__xludf.DUMMYFUNCTION("""COMPUTED_VALUE"""),-68.844661)</f>
        <v>-68.844661</v>
      </c>
      <c r="Q17" t="str">
        <f>IFERROR(__xludf.DUMMYFUNCTION("""COMPUTED_VALUE"""),"Av, Las Heras 501, Mendoza , Argentina")</f>
        <v>Av, Las Heras 501, Mendoza , Argentina</v>
      </c>
      <c r="R17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18">
      <c r="A18" s="1">
        <v>872.0</v>
      </c>
      <c r="B18" s="1" t="s">
        <v>55</v>
      </c>
      <c r="C18" s="1">
        <v>7.0</v>
      </c>
      <c r="D18" s="1" t="s">
        <v>265</v>
      </c>
      <c r="E18" s="1" t="s">
        <v>1282</v>
      </c>
      <c r="F18" s="1" t="s">
        <v>129</v>
      </c>
      <c r="G18" s="1" t="s">
        <v>267</v>
      </c>
      <c r="H18" s="1" t="s">
        <v>267</v>
      </c>
      <c r="I18" s="1" t="s">
        <v>21</v>
      </c>
      <c r="J18" s="1" t="s">
        <v>269</v>
      </c>
      <c r="K18">
        <v>-68.846</v>
      </c>
      <c r="L18">
        <v>-32.884912</v>
      </c>
      <c r="N18" s="1" t="s">
        <v>1558</v>
      </c>
      <c r="O18">
        <f t="shared" si="1"/>
        <v>-32.884912</v>
      </c>
      <c r="P18">
        <f>IFERROR(__xludf.DUMMYFUNCTION("""COMPUTED_VALUE"""),-68.846)</f>
        <v>-68.846</v>
      </c>
      <c r="Q18" t="str">
        <f>IFERROR(__xludf.DUMMYFUNCTION("""COMPUTED_VALUE"""),"Av, Las Heras 605, Mendoza , Argentina")</f>
        <v>Av, Las Heras 605, Mendoza , Argentina</v>
      </c>
      <c r="R18" t="str">
        <f>IFERROR(__xludf.DUMMYFUNCTION("""COMPUTED_VALUE"""),"Avenida Las Heras 605, Ciudad de Mendoza, Sección 1ª Parque Central, Mendoza, AR")</f>
        <v>Avenida Las Heras 605, Ciudad de Mendoza, Sección 1ª Parque Central, Mendoza, AR</v>
      </c>
    </row>
    <row r="19">
      <c r="A19" s="1">
        <v>941.0</v>
      </c>
      <c r="B19" s="1" t="s">
        <v>55</v>
      </c>
      <c r="C19" s="1">
        <v>15.0</v>
      </c>
      <c r="D19" s="1" t="s">
        <v>175</v>
      </c>
      <c r="E19" s="1" t="s">
        <v>1282</v>
      </c>
      <c r="F19" s="1" t="s">
        <v>129</v>
      </c>
      <c r="G19" s="1" t="s">
        <v>290</v>
      </c>
      <c r="H19" s="1" t="s">
        <v>290</v>
      </c>
      <c r="I19" s="1" t="s">
        <v>21</v>
      </c>
      <c r="J19" s="1" t="s">
        <v>293</v>
      </c>
      <c r="K19">
        <v>-68.840227</v>
      </c>
      <c r="L19">
        <v>-32.886079</v>
      </c>
      <c r="N19" s="1" t="s">
        <v>1571</v>
      </c>
      <c r="O19">
        <f t="shared" si="1"/>
        <v>-32.886079</v>
      </c>
      <c r="P19">
        <f>IFERROR(__xludf.DUMMYFUNCTION("""COMPUTED_VALUE"""),-68.840227)</f>
        <v>-68.840227</v>
      </c>
      <c r="Q19" t="str">
        <f>IFERROR(__xludf.DUMMYFUNCTION("""COMPUTED_VALUE"""),"Av, Las Heras 150, Mendoza , Argentina")</f>
        <v>Av, Las Heras 150, Mendoza , Argentina</v>
      </c>
      <c r="R19" t="str">
        <f>IFERROR(__xludf.DUMMYFUNCTION("""COMPUTED_VALUE"""),"Avenida Las Heras 150, Ciudad de Mendoza, Sección 1ª Parque Central, Mendoza, AR")</f>
        <v>Avenida Las Heras 150, Ciudad de Mendoza, Sección 1ª Parque Central, Mendoza, AR</v>
      </c>
    </row>
    <row r="20">
      <c r="A20" s="1">
        <v>997.0</v>
      </c>
      <c r="B20" s="1" t="s">
        <v>62</v>
      </c>
      <c r="C20" s="1">
        <v>4.0</v>
      </c>
      <c r="D20" s="1" t="s">
        <v>297</v>
      </c>
      <c r="E20" s="1" t="s">
        <v>1282</v>
      </c>
      <c r="F20" s="1" t="s">
        <v>129</v>
      </c>
      <c r="G20" s="1" t="s">
        <v>299</v>
      </c>
      <c r="H20" s="1" t="s">
        <v>299</v>
      </c>
      <c r="I20" s="1" t="s">
        <v>21</v>
      </c>
      <c r="J20" s="1" t="s">
        <v>302</v>
      </c>
      <c r="K20">
        <v>-68.845681</v>
      </c>
      <c r="L20">
        <v>-32.894025</v>
      </c>
      <c r="N20" s="1" t="s">
        <v>1589</v>
      </c>
      <c r="O20">
        <f t="shared" si="1"/>
        <v>-32.894025</v>
      </c>
      <c r="P20">
        <f>IFERROR(__xludf.DUMMYFUNCTION("""COMPUTED_VALUE"""),-68.845681)</f>
        <v>-68.845681</v>
      </c>
      <c r="Q20" t="str">
        <f>IFERROR(__xludf.DUMMYFUNCTION("""COMPUTED_VALUE"""),"Av, Colón 361, Mendoza , Argentina")</f>
        <v>Av, Colón 361, Mendoza , Argentina</v>
      </c>
      <c r="R2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1">
      <c r="A21" s="1">
        <v>1005.0</v>
      </c>
      <c r="B21" s="1" t="s">
        <v>62</v>
      </c>
      <c r="C21" s="1">
        <v>5.0</v>
      </c>
      <c r="D21" s="1" t="s">
        <v>306</v>
      </c>
      <c r="E21" s="1" t="s">
        <v>1282</v>
      </c>
      <c r="F21" s="1" t="s">
        <v>129</v>
      </c>
      <c r="G21" s="1" t="s">
        <v>308</v>
      </c>
      <c r="H21" s="1" t="s">
        <v>310</v>
      </c>
      <c r="I21" s="1" t="s">
        <v>21</v>
      </c>
      <c r="J21" s="1" t="s">
        <v>311</v>
      </c>
      <c r="K21">
        <v>-68.845681</v>
      </c>
      <c r="L21">
        <v>-32.894025</v>
      </c>
      <c r="N21" s="1" t="s">
        <v>1603</v>
      </c>
      <c r="O21">
        <f t="shared" si="1"/>
        <v>-32.894025</v>
      </c>
      <c r="P21">
        <f>IFERROR(__xludf.DUMMYFUNCTION("""COMPUTED_VALUE"""),-68.845681)</f>
        <v>-68.845681</v>
      </c>
      <c r="Q21" t="str">
        <f>IFERROR(__xludf.DUMMYFUNCTION("""COMPUTED_VALUE"""),"Av, Colón 459, Mendoza , Argentina")</f>
        <v>Av, Colón 459, Mendoza , Argentina</v>
      </c>
      <c r="R2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2">
      <c r="A22" s="1">
        <v>1012.0</v>
      </c>
      <c r="B22" s="1" t="s">
        <v>62</v>
      </c>
      <c r="C22" s="1">
        <v>6.0</v>
      </c>
      <c r="D22" s="1" t="s">
        <v>236</v>
      </c>
      <c r="E22" s="1" t="s">
        <v>1282</v>
      </c>
      <c r="F22" s="1" t="s">
        <v>129</v>
      </c>
      <c r="G22" s="1" t="s">
        <v>316</v>
      </c>
      <c r="H22" s="1" t="s">
        <v>316</v>
      </c>
      <c r="I22" s="1" t="s">
        <v>21</v>
      </c>
      <c r="J22" s="1" t="s">
        <v>319</v>
      </c>
      <c r="K22">
        <v>-68.847475</v>
      </c>
      <c r="L22">
        <v>-32.893599</v>
      </c>
      <c r="N22" s="1" t="s">
        <v>1619</v>
      </c>
      <c r="O22">
        <f t="shared" si="1"/>
        <v>-32.893599</v>
      </c>
      <c r="P22">
        <f>IFERROR(__xludf.DUMMYFUNCTION("""COMPUTED_VALUE"""),-68.847475)</f>
        <v>-68.847475</v>
      </c>
      <c r="Q22" t="str">
        <f>IFERROR(__xludf.DUMMYFUNCTION("""COMPUTED_VALUE"""),"Av, Colón 539, Mendoza , Argentina")</f>
        <v>Av, Colón 539, Mendoza , Argentina</v>
      </c>
      <c r="R22" t="str">
        <f>IFERROR(__xludf.DUMMYFUNCTION("""COMPUTED_VALUE"""),"Avenida Colón 539, Ciudad de Mendoza, Sección 2ª Barrio Cívico, Mendoza, AR")</f>
        <v>Avenida Colón 539, Ciudad de Mendoza, Sección 2ª Barrio Cívico, Mendoza, AR</v>
      </c>
    </row>
    <row r="23">
      <c r="A23" s="1">
        <v>1024.0</v>
      </c>
      <c r="B23" s="1" t="s">
        <v>62</v>
      </c>
      <c r="C23" s="1">
        <v>9.0</v>
      </c>
      <c r="D23" s="1" t="s">
        <v>297</v>
      </c>
      <c r="E23" s="1" t="s">
        <v>1282</v>
      </c>
      <c r="F23" s="1" t="s">
        <v>129</v>
      </c>
      <c r="G23" s="1" t="s">
        <v>324</v>
      </c>
      <c r="H23" s="1" t="s">
        <v>324</v>
      </c>
      <c r="I23" s="1" t="s">
        <v>21</v>
      </c>
      <c r="J23" s="1" t="s">
        <v>326</v>
      </c>
      <c r="K23">
        <v>-68.850683</v>
      </c>
      <c r="L23">
        <v>-32.893184</v>
      </c>
      <c r="N23" s="1" t="s">
        <v>1632</v>
      </c>
      <c r="O23">
        <f t="shared" si="1"/>
        <v>-32.893184</v>
      </c>
      <c r="P23">
        <f>IFERROR(__xludf.DUMMYFUNCTION("""COMPUTED_VALUE"""),-68.850683)</f>
        <v>-68.850683</v>
      </c>
      <c r="Q23" t="str">
        <f>IFERROR(__xludf.DUMMYFUNCTION("""COMPUTED_VALUE"""),"Av, Colón 798, Mendoza , Argentina")</f>
        <v>Av, Colón 798, Mendoza , Argentina</v>
      </c>
      <c r="R23" t="str">
        <f>IFERROR(__xludf.DUMMYFUNCTION("""COMPUTED_VALUE"""),"Avenida Colón 798, Ciudad de Mendoza, Sección 5ª Residencial Sur, Mendoza, AR")</f>
        <v>Avenida Colón 798, Ciudad de Mendoza, Sección 5ª Residencial Sur, Mendoza, AR</v>
      </c>
    </row>
    <row r="24">
      <c r="A24" s="1">
        <v>1080.0</v>
      </c>
      <c r="B24" s="1" t="s">
        <v>62</v>
      </c>
      <c r="C24" s="1">
        <v>13.0</v>
      </c>
      <c r="D24" s="1" t="s">
        <v>246</v>
      </c>
      <c r="E24" s="1" t="s">
        <v>1282</v>
      </c>
      <c r="F24" s="1" t="s">
        <v>129</v>
      </c>
      <c r="G24" s="1" t="s">
        <v>333</v>
      </c>
      <c r="H24" s="1" t="s">
        <v>333</v>
      </c>
      <c r="I24" s="1" t="s">
        <v>21</v>
      </c>
      <c r="J24" s="1" t="s">
        <v>336</v>
      </c>
      <c r="K24">
        <v>-68.844899</v>
      </c>
      <c r="L24">
        <v>-32.894535</v>
      </c>
      <c r="N24" s="1" t="s">
        <v>1644</v>
      </c>
      <c r="O24">
        <f t="shared" si="1"/>
        <v>-32.894535</v>
      </c>
      <c r="P24">
        <f>IFERROR(__xludf.DUMMYFUNCTION("""COMPUTED_VALUE"""),-68.844899)</f>
        <v>-68.844899</v>
      </c>
      <c r="Q24" t="str">
        <f>IFERROR(__xludf.DUMMYFUNCTION("""COMPUTED_VALUE"""),"Av, Colón 324, Mendoza , Argentina")</f>
        <v>Av, Colón 324, Mendoza , Argentina</v>
      </c>
      <c r="R24" t="str">
        <f>IFERROR(__xludf.DUMMYFUNCTION("""COMPUTED_VALUE"""),"Avenida Colón 324, Ciudad de Mendoza, Sección 2ª Barrio Cívico, Mendoza, AR")</f>
        <v>Avenida Colón 324, Ciudad de Mendoza, Sección 2ª Barrio Cívico, Mendoza, AR</v>
      </c>
    </row>
    <row r="25">
      <c r="A25" s="1">
        <v>1097.0</v>
      </c>
      <c r="B25" s="1" t="s">
        <v>62</v>
      </c>
      <c r="C25" s="1">
        <v>16.0</v>
      </c>
      <c r="D25" s="1" t="s">
        <v>340</v>
      </c>
      <c r="E25" s="1" t="s">
        <v>1282</v>
      </c>
      <c r="F25" s="1" t="s">
        <v>129</v>
      </c>
      <c r="G25" s="1" t="s">
        <v>342</v>
      </c>
      <c r="H25" s="1" t="s">
        <v>342</v>
      </c>
      <c r="I25" s="1" t="s">
        <v>21</v>
      </c>
      <c r="J25" s="1" t="s">
        <v>344</v>
      </c>
      <c r="K25">
        <v>-68.845681</v>
      </c>
      <c r="L25">
        <v>-32.894025</v>
      </c>
      <c r="N25" s="1" t="s">
        <v>1657</v>
      </c>
      <c r="O25">
        <f t="shared" si="1"/>
        <v>-32.894025</v>
      </c>
      <c r="P25">
        <f>IFERROR(__xludf.DUMMYFUNCTION("""COMPUTED_VALUE"""),-68.845681)</f>
        <v>-68.845681</v>
      </c>
      <c r="Q25" t="str">
        <f>IFERROR(__xludf.DUMMYFUNCTION("""COMPUTED_VALUE"""),"Av, Colón 160, Mendoza , Argentina")</f>
        <v>Av, Colón 160, Mendoza , Argentina</v>
      </c>
      <c r="R25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6">
      <c r="A26" s="1">
        <v>1103.0</v>
      </c>
      <c r="B26" s="1" t="s">
        <v>120</v>
      </c>
      <c r="C26" s="1">
        <v>1.0</v>
      </c>
      <c r="D26" s="1" t="s">
        <v>346</v>
      </c>
      <c r="E26" s="1" t="s">
        <v>1282</v>
      </c>
      <c r="F26" s="1" t="s">
        <v>129</v>
      </c>
      <c r="G26" s="1" t="s">
        <v>349</v>
      </c>
      <c r="H26" s="1" t="s">
        <v>349</v>
      </c>
      <c r="I26" s="1" t="s">
        <v>21</v>
      </c>
      <c r="J26" s="1" t="s">
        <v>352</v>
      </c>
      <c r="K26">
        <v>-100.445882</v>
      </c>
      <c r="L26">
        <v>39.78373</v>
      </c>
      <c r="N26" s="1" t="s">
        <v>1667</v>
      </c>
      <c r="O26">
        <f t="shared" si="1"/>
        <v>39.78373</v>
      </c>
      <c r="P26">
        <f>IFERROR(__xludf.DUMMYFUNCTION("""COMPUTED_VALUE"""),-100.445882)</f>
        <v>-100.445882</v>
      </c>
      <c r="Q26" t="str">
        <f>IFERROR(__xludf.DUMMYFUNCTION("""COMPUTED_VALUE"""),"Espejo 19 local derecha, Mendoza , Argentina")</f>
        <v>Espejo 19 local derecha, Mendoza , Argentina</v>
      </c>
      <c r="R26" t="str">
        <f>IFERROR(__xludf.DUMMYFUNCTION("""COMPUTED_VALUE"""),"US")</f>
        <v>US</v>
      </c>
    </row>
    <row r="27">
      <c r="B27" s="1" t="s">
        <v>120</v>
      </c>
      <c r="C27" s="1">
        <v>1.0</v>
      </c>
      <c r="D27" s="1" t="s">
        <v>355</v>
      </c>
      <c r="E27" s="1" t="s">
        <v>1282</v>
      </c>
      <c r="F27" s="1" t="s">
        <v>129</v>
      </c>
      <c r="G27" s="1" t="s">
        <v>356</v>
      </c>
      <c r="H27" s="1" t="s">
        <v>356</v>
      </c>
      <c r="I27" s="1" t="s">
        <v>21</v>
      </c>
      <c r="J27" s="1" t="s">
        <v>363</v>
      </c>
      <c r="K27">
        <v>-68.84806</v>
      </c>
      <c r="L27">
        <v>-32.887937</v>
      </c>
      <c r="N27" s="1" t="s">
        <v>1681</v>
      </c>
      <c r="O27">
        <f t="shared" si="1"/>
        <v>-32.887937</v>
      </c>
      <c r="P27">
        <f>IFERROR(__xludf.DUMMYFUNCTION("""COMPUTED_VALUE"""),-68.84806)</f>
        <v>-68.84806</v>
      </c>
      <c r="Q27" t="str">
        <f>IFERROR(__xludf.DUMMYFUNCTION("""COMPUTED_VALUE"""),"Espejo 59, Mendoza , Argentina")</f>
        <v>Espejo 59, Mendoza , Argentina</v>
      </c>
      <c r="R27" t="str">
        <f>IFERROR(__xludf.DUMMYFUNCTION("""COMPUTED_VALUE"""),"Espejo, Ciudad de Mendoza, Sección 2ª Barrio Cívico, Mendoza, AR")</f>
        <v>Espejo, Ciudad de Mendoza, Sección 2ª Barrio Cívico, Mendoza, AR</v>
      </c>
    </row>
    <row r="28">
      <c r="A28" s="1">
        <v>1118.0</v>
      </c>
      <c r="B28" s="1" t="s">
        <v>120</v>
      </c>
      <c r="C28" s="1">
        <v>1.0</v>
      </c>
      <c r="D28" s="1" t="s">
        <v>297</v>
      </c>
      <c r="E28" s="1" t="s">
        <v>1282</v>
      </c>
      <c r="F28" s="1" t="s">
        <v>129</v>
      </c>
      <c r="G28" s="1" t="s">
        <v>368</v>
      </c>
      <c r="H28" s="1" t="s">
        <v>368</v>
      </c>
      <c r="I28" s="1" t="s">
        <v>21</v>
      </c>
      <c r="J28" s="1" t="s">
        <v>370</v>
      </c>
      <c r="K28">
        <v>-68.844186</v>
      </c>
      <c r="L28">
        <v>-32.888641</v>
      </c>
      <c r="N28" s="1" t="s">
        <v>1692</v>
      </c>
      <c r="O28">
        <f t="shared" si="1"/>
        <v>-32.888641</v>
      </c>
      <c r="P28">
        <f>IFERROR(__xludf.DUMMYFUNCTION("""COMPUTED_VALUE"""),-68.844186)</f>
        <v>-68.844186</v>
      </c>
      <c r="Q28" t="str">
        <f>IFERROR(__xludf.DUMMYFUNCTION("""COMPUTED_VALUE"""),"Espejo 99, Mendoza , Argentina")</f>
        <v>Espejo 99, Mendoza , Argentina</v>
      </c>
      <c r="R28" t="str">
        <f>IFERROR(__xludf.DUMMYFUNCTION("""COMPUTED_VALUE"""),"Espejo, Ciudad de Mendoza, Sección 2ª Barrio Cívico, Mendoza, AR")</f>
        <v>Espejo, Ciudad de Mendoza, Sección 2ª Barrio Cívico, Mendoza, AR</v>
      </c>
    </row>
    <row r="29">
      <c r="A29" s="1">
        <v>1153.0</v>
      </c>
      <c r="B29" s="1" t="s">
        <v>120</v>
      </c>
      <c r="C29" s="1">
        <v>4.0</v>
      </c>
      <c r="D29" s="1" t="s">
        <v>374</v>
      </c>
      <c r="E29" s="1" t="s">
        <v>1282</v>
      </c>
      <c r="F29" s="1" t="s">
        <v>129</v>
      </c>
      <c r="G29" s="1" t="s">
        <v>377</v>
      </c>
      <c r="H29" s="1" t="s">
        <v>377</v>
      </c>
      <c r="I29" s="1" t="s">
        <v>21</v>
      </c>
      <c r="J29" s="1" t="s">
        <v>378</v>
      </c>
      <c r="K29">
        <v>-68.841781</v>
      </c>
      <c r="L29">
        <v>-32.889131</v>
      </c>
      <c r="N29" s="1" t="s">
        <v>1707</v>
      </c>
      <c r="O29">
        <f t="shared" si="1"/>
        <v>-32.889131</v>
      </c>
      <c r="P29">
        <f>IFERROR(__xludf.DUMMYFUNCTION("""COMPUTED_VALUE"""),-68.841781)</f>
        <v>-68.841781</v>
      </c>
      <c r="Q29" t="str">
        <f>IFERROR(__xludf.DUMMYFUNCTION("""COMPUTED_VALUE"""),"Espejo 202, Mendoza , Argentina")</f>
        <v>Espejo 202, Mendoza , Argentina</v>
      </c>
      <c r="R29" t="str">
        <f>IFERROR(__xludf.DUMMYFUNCTION("""COMPUTED_VALUE"""),"Espejo 202, Ciudad de Mendoza, Sección 2ª Barrio Cívico, Mendoza, AR")</f>
        <v>Espejo 202, Ciudad de Mendoza, Sección 2ª Barrio Cívico, Mendoza, AR</v>
      </c>
    </row>
    <row r="30">
      <c r="A30" s="1">
        <v>1219.0</v>
      </c>
      <c r="B30" s="1" t="s">
        <v>227</v>
      </c>
      <c r="C30" s="1">
        <v>7.0</v>
      </c>
      <c r="D30" s="1" t="s">
        <v>381</v>
      </c>
      <c r="E30" s="1" t="s">
        <v>1282</v>
      </c>
      <c r="F30" s="1" t="s">
        <v>129</v>
      </c>
      <c r="G30" s="1" t="s">
        <v>384</v>
      </c>
      <c r="H30" s="1" t="s">
        <v>384</v>
      </c>
      <c r="I30" s="1" t="s">
        <v>21</v>
      </c>
      <c r="J30" s="1" t="s">
        <v>387</v>
      </c>
      <c r="K30">
        <v>-67.688023</v>
      </c>
      <c r="L30">
        <v>-34.979176</v>
      </c>
      <c r="N30" s="1" t="s">
        <v>1724</v>
      </c>
      <c r="O30">
        <f t="shared" si="1"/>
        <v>-34.979176</v>
      </c>
      <c r="P30">
        <f>IFERROR(__xludf.DUMMYFUNCTION("""COMPUTED_VALUE"""),-67.688023)</f>
        <v>-67.688023</v>
      </c>
      <c r="Q30" t="str">
        <f>IFERROR(__xludf.DUMMYFUNCTION("""COMPUTED_VALUE"""),"Godoy Cruz 382, Mendoza , Argentina")</f>
        <v>Godoy Cruz 382, Mendoza , Argentina</v>
      </c>
      <c r="R30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31">
      <c r="A31" s="1">
        <v>1256.0</v>
      </c>
      <c r="B31" s="1" t="s">
        <v>248</v>
      </c>
      <c r="C31" s="1">
        <v>1.0</v>
      </c>
      <c r="D31" s="1" t="s">
        <v>388</v>
      </c>
      <c r="E31" s="1" t="s">
        <v>1282</v>
      </c>
      <c r="F31" s="1" t="s">
        <v>129</v>
      </c>
      <c r="G31" s="1" t="s">
        <v>390</v>
      </c>
      <c r="H31" s="1" t="s">
        <v>390</v>
      </c>
      <c r="I31" s="1" t="s">
        <v>21</v>
      </c>
      <c r="J31" s="1" t="s">
        <v>392</v>
      </c>
      <c r="K31">
        <v>-68.840642</v>
      </c>
      <c r="L31">
        <v>-32.884761</v>
      </c>
      <c r="N31" s="1" t="s">
        <v>1739</v>
      </c>
      <c r="O31">
        <f t="shared" si="1"/>
        <v>-32.884761</v>
      </c>
      <c r="P31">
        <f>IFERROR(__xludf.DUMMYFUNCTION("""COMPUTED_VALUE"""),-68.840642)</f>
        <v>-68.840642</v>
      </c>
      <c r="Q31" t="str">
        <f>IFERROR(__xludf.DUMMYFUNCTION("""COMPUTED_VALUE"""),"General Paz 201, Mendoza , Argentina")</f>
        <v>General Paz 201, Mendoza , Argentina</v>
      </c>
      <c r="R31" t="str">
        <f>IFERROR(__xludf.DUMMYFUNCTION("""COMPUTED_VALUE"""),"General Paz 201, Ciudad de Mendoza, Sección 1ª Parque Central, Mendoza, AR")</f>
        <v>General Paz 201, Ciudad de Mendoza, Sección 1ª Parque Central, Mendoza, AR</v>
      </c>
    </row>
    <row r="32">
      <c r="A32" s="1">
        <v>1266.0</v>
      </c>
      <c r="B32" s="1" t="s">
        <v>248</v>
      </c>
      <c r="C32" s="1">
        <v>2.0</v>
      </c>
      <c r="D32" s="1" t="s">
        <v>191</v>
      </c>
      <c r="E32" s="1" t="s">
        <v>1282</v>
      </c>
      <c r="F32" s="1" t="s">
        <v>129</v>
      </c>
      <c r="G32" s="1" t="s">
        <v>395</v>
      </c>
      <c r="H32" s="1" t="s">
        <v>395</v>
      </c>
      <c r="I32" s="1" t="s">
        <v>21</v>
      </c>
      <c r="J32" s="1" t="s">
        <v>396</v>
      </c>
      <c r="K32">
        <v>-67.683115</v>
      </c>
      <c r="L32">
        <v>-34.974904</v>
      </c>
      <c r="N32" s="1" t="s">
        <v>1758</v>
      </c>
      <c r="O32">
        <f t="shared" si="1"/>
        <v>-34.974904</v>
      </c>
      <c r="P32">
        <f>IFERROR(__xludf.DUMMYFUNCTION("""COMPUTED_VALUE"""),-67.683115)</f>
        <v>-67.683115</v>
      </c>
      <c r="Q32" t="str">
        <f>IFERROR(__xludf.DUMMYFUNCTION("""COMPUTED_VALUE"""),"España 1504, Mendoza , Argentina")</f>
        <v>España 1504, Mendoza , Argentina</v>
      </c>
      <c r="R32" t="str">
        <f>IFERROR(__xludf.DUMMYFUNCTION("""COMPUTED_VALUE"""),"España, General Alvear, Distrito Ciudad de General Alvear, Mendoza, AR")</f>
        <v>España, General Alvear, Distrito Ciudad de General Alvear, Mendoza, AR</v>
      </c>
    </row>
    <row r="33">
      <c r="A33" s="1">
        <v>1276.0</v>
      </c>
      <c r="B33" s="1" t="s">
        <v>248</v>
      </c>
      <c r="C33" s="1">
        <v>6.0</v>
      </c>
      <c r="D33" s="1" t="s">
        <v>399</v>
      </c>
      <c r="E33" s="1" t="s">
        <v>1282</v>
      </c>
      <c r="F33" s="1" t="s">
        <v>129</v>
      </c>
      <c r="G33" s="1" t="s">
        <v>401</v>
      </c>
      <c r="H33" s="1" t="s">
        <v>401</v>
      </c>
      <c r="I33" s="1" t="s">
        <v>21</v>
      </c>
      <c r="J33" s="1" t="s">
        <v>402</v>
      </c>
      <c r="K33">
        <v>-67.683115</v>
      </c>
      <c r="L33">
        <v>-34.974904</v>
      </c>
      <c r="N33" s="1" t="s">
        <v>1773</v>
      </c>
      <c r="O33">
        <f t="shared" si="1"/>
        <v>-34.974904</v>
      </c>
      <c r="P33">
        <f>IFERROR(__xludf.DUMMYFUNCTION("""COMPUTED_VALUE"""),-67.683115)</f>
        <v>-67.683115</v>
      </c>
      <c r="Q33" t="str">
        <f>IFERROR(__xludf.DUMMYFUNCTION("""COMPUTED_VALUE"""),"España 1116, Mendoza , Argentina")</f>
        <v>España 1116, Mendoza , Argentina</v>
      </c>
      <c r="R33" t="str">
        <f>IFERROR(__xludf.DUMMYFUNCTION("""COMPUTED_VALUE"""),"España, General Alvear, Distrito Ciudad de General Alvear, Mendoza, AR")</f>
        <v>España, General Alvear, Distrito Ciudad de General Alvear, Mendoza, AR</v>
      </c>
    </row>
    <row r="34">
      <c r="A34" s="1">
        <v>1280.0</v>
      </c>
      <c r="B34" s="1" t="s">
        <v>248</v>
      </c>
      <c r="C34" s="1">
        <v>6.0</v>
      </c>
      <c r="D34" s="1" t="s">
        <v>191</v>
      </c>
      <c r="E34" s="1" t="s">
        <v>1282</v>
      </c>
      <c r="F34" s="1" t="s">
        <v>129</v>
      </c>
      <c r="G34" s="1" t="s">
        <v>377</v>
      </c>
      <c r="H34" s="1" t="s">
        <v>377</v>
      </c>
      <c r="I34" s="1" t="s">
        <v>21</v>
      </c>
      <c r="J34" s="1" t="s">
        <v>378</v>
      </c>
      <c r="K34">
        <v>-68.841781</v>
      </c>
      <c r="L34">
        <v>-32.889131</v>
      </c>
      <c r="N34" s="1" t="s">
        <v>1707</v>
      </c>
      <c r="O34">
        <f t="shared" si="1"/>
        <v>-32.889131</v>
      </c>
      <c r="P34">
        <f>IFERROR(__xludf.DUMMYFUNCTION("""COMPUTED_VALUE"""),-68.841781)</f>
        <v>-68.841781</v>
      </c>
      <c r="Q34" t="str">
        <f>IFERROR(__xludf.DUMMYFUNCTION("""COMPUTED_VALUE"""),"Espejo 202, Mendoza , Argentina")</f>
        <v>Espejo 202, Mendoza , Argentina</v>
      </c>
      <c r="R34" t="str">
        <f>IFERROR(__xludf.DUMMYFUNCTION("""COMPUTED_VALUE"""),"Espejo 202, Ciudad de Mendoza, Sección 2ª Barrio Cívico, Mendoza, AR")</f>
        <v>Espejo 202, Ciudad de Mendoza, Sección 2ª Barrio Cívico, Mendoza, AR</v>
      </c>
    </row>
    <row r="35">
      <c r="A35" s="1">
        <v>1290.0</v>
      </c>
      <c r="B35" s="1" t="s">
        <v>248</v>
      </c>
      <c r="C35" s="1">
        <v>8.0</v>
      </c>
      <c r="D35" s="1" t="s">
        <v>163</v>
      </c>
      <c r="E35" s="1" t="s">
        <v>1282</v>
      </c>
      <c r="F35" s="1" t="s">
        <v>129</v>
      </c>
      <c r="G35" s="1" t="s">
        <v>407</v>
      </c>
      <c r="H35" s="1" t="s">
        <v>407</v>
      </c>
      <c r="I35" s="1" t="s">
        <v>21</v>
      </c>
      <c r="J35" s="1" t="s">
        <v>408</v>
      </c>
      <c r="K35">
        <v>-67.683115</v>
      </c>
      <c r="L35">
        <v>-34.974904</v>
      </c>
      <c r="N35" s="1" t="s">
        <v>1795</v>
      </c>
      <c r="O35">
        <f t="shared" si="1"/>
        <v>-34.974904</v>
      </c>
      <c r="P35">
        <f>IFERROR(__xludf.DUMMYFUNCTION("""COMPUTED_VALUE"""),-67.683115)</f>
        <v>-67.683115</v>
      </c>
      <c r="Q35" t="str">
        <f>IFERROR(__xludf.DUMMYFUNCTION("""COMPUTED_VALUE"""),"España 980, Mendoza , Argentina")</f>
        <v>España 980, Mendoza , Argentina</v>
      </c>
      <c r="R35" t="str">
        <f>IFERROR(__xludf.DUMMYFUNCTION("""COMPUTED_VALUE"""),"España, General Alvear, Distrito Ciudad de General Alvear, Mendoza, AR")</f>
        <v>España, General Alvear, Distrito Ciudad de General Alvear, Mendoza, AR</v>
      </c>
    </row>
    <row r="36">
      <c r="A36" s="1">
        <v>1304.0</v>
      </c>
      <c r="B36" s="1" t="s">
        <v>248</v>
      </c>
      <c r="C36" s="1">
        <v>9.0</v>
      </c>
      <c r="D36" s="1" t="s">
        <v>399</v>
      </c>
      <c r="E36" s="1" t="s">
        <v>1282</v>
      </c>
      <c r="F36" s="1" t="s">
        <v>129</v>
      </c>
      <c r="G36" s="1" t="s">
        <v>411</v>
      </c>
      <c r="H36" s="1" t="s">
        <v>411</v>
      </c>
      <c r="I36" s="1" t="s">
        <v>21</v>
      </c>
      <c r="J36" s="1" t="s">
        <v>414</v>
      </c>
      <c r="K36">
        <v>-67.683115</v>
      </c>
      <c r="L36">
        <v>-34.974904</v>
      </c>
      <c r="N36" s="1" t="s">
        <v>1804</v>
      </c>
      <c r="O36">
        <f t="shared" si="1"/>
        <v>-34.974904</v>
      </c>
      <c r="P36">
        <f>IFERROR(__xludf.DUMMYFUNCTION("""COMPUTED_VALUE"""),-67.683115)</f>
        <v>-67.683115</v>
      </c>
      <c r="Q36" t="str">
        <f>IFERROR(__xludf.DUMMYFUNCTION("""COMPUTED_VALUE"""),"España 953, Mendoza , Argentina")</f>
        <v>España 953, Mendoza , Argentina</v>
      </c>
      <c r="R36" t="str">
        <f>IFERROR(__xludf.DUMMYFUNCTION("""COMPUTED_VALUE"""),"España, General Alvear, Distrito Ciudad de General Alvear, Mendoza, AR")</f>
        <v>España, General Alvear, Distrito Ciudad de General Alvear, Mendoza, AR</v>
      </c>
    </row>
    <row r="37">
      <c r="A37" s="1">
        <v>9.0</v>
      </c>
      <c r="B37" s="1" t="s">
        <v>12</v>
      </c>
      <c r="C37" s="1">
        <v>2.0</v>
      </c>
      <c r="D37" s="1" t="s">
        <v>1812</v>
      </c>
      <c r="E37" s="1" t="s">
        <v>1282</v>
      </c>
      <c r="F37" s="1" t="s">
        <v>1814</v>
      </c>
      <c r="G37" s="1" t="s">
        <v>1815</v>
      </c>
      <c r="H37" s="1" t="s">
        <v>1815</v>
      </c>
      <c r="I37" s="1" t="s">
        <v>21</v>
      </c>
      <c r="J37" s="1" t="s">
        <v>1816</v>
      </c>
      <c r="K37">
        <v>-68.845728</v>
      </c>
      <c r="L37">
        <v>-32.906908</v>
      </c>
      <c r="N37" s="1" t="s">
        <v>1818</v>
      </c>
      <c r="O37">
        <f t="shared" si="1"/>
        <v>-32.906908</v>
      </c>
      <c r="P37">
        <f>IFERROR(__xludf.DUMMYFUNCTION("""COMPUTED_VALUE"""),-68.845728)</f>
        <v>-68.845728</v>
      </c>
      <c r="Q37" t="str">
        <f>IFERROR(__xludf.DUMMYFUNCTION("""COMPUTED_VALUE"""),"Juan B, Justo 145, Mendoza , Argentina")</f>
        <v>Juan B, Justo 145, Mendoza , Argentina</v>
      </c>
      <c r="R37" t="str">
        <f>IFERROR(__xludf.DUMMYFUNCTION("""COMPUTED_VALUE"""),"Juan B, Justo 145, Villa Mercedes, Departamento Godoy Cruz, Mendoza, AR")</f>
        <v>Juan B, Justo 145, Villa Mercedes, Departamento Godoy Cruz, Mendoza, AR</v>
      </c>
    </row>
    <row r="38">
      <c r="A38" s="1">
        <v>13.0</v>
      </c>
      <c r="B38" s="1" t="s">
        <v>12</v>
      </c>
      <c r="C38" s="1">
        <v>3.0</v>
      </c>
      <c r="D38" s="1" t="s">
        <v>1827</v>
      </c>
      <c r="E38" s="1" t="s">
        <v>1282</v>
      </c>
      <c r="F38" s="1" t="s">
        <v>1814</v>
      </c>
      <c r="G38" s="1" t="s">
        <v>1829</v>
      </c>
      <c r="H38" s="1" t="s">
        <v>1829</v>
      </c>
      <c r="I38" s="1" t="s">
        <v>21</v>
      </c>
      <c r="J38" s="1" t="s">
        <v>1832</v>
      </c>
      <c r="K38">
        <v>-68.846944</v>
      </c>
      <c r="L38">
        <v>-32.906773</v>
      </c>
      <c r="N38" s="1" t="s">
        <v>1833</v>
      </c>
      <c r="O38">
        <f t="shared" si="1"/>
        <v>-32.906773</v>
      </c>
      <c r="P38">
        <f>IFERROR(__xludf.DUMMYFUNCTION("""COMPUTED_VALUE"""),-68.846944)</f>
        <v>-68.846944</v>
      </c>
      <c r="Q38" t="str">
        <f>IFERROR(__xludf.DUMMYFUNCTION("""COMPUTED_VALUE"""),"Juan B, Justo 245, Mendoza , Argentina")</f>
        <v>Juan B, Justo 245, Mendoza , Argentina</v>
      </c>
      <c r="R38" t="str">
        <f>IFERROR(__xludf.DUMMYFUNCTION("""COMPUTED_VALUE"""),"Juan B, Justo 245, Villa Mercedes, Departamento Godoy Cruz, Mendoza, AR")</f>
        <v>Juan B, Justo 245, Villa Mercedes, Departamento Godoy Cruz, Mendoza, AR</v>
      </c>
    </row>
    <row r="39">
      <c r="A39" s="1">
        <v>38.0</v>
      </c>
      <c r="B39" s="1" t="s">
        <v>12</v>
      </c>
      <c r="C39" s="1">
        <v>8.0</v>
      </c>
      <c r="D39" s="1" t="s">
        <v>1847</v>
      </c>
      <c r="E39" s="1" t="s">
        <v>1282</v>
      </c>
      <c r="F39" s="1" t="s">
        <v>1814</v>
      </c>
      <c r="G39" s="1" t="s">
        <v>1849</v>
      </c>
      <c r="H39" s="1" t="s">
        <v>1849</v>
      </c>
      <c r="I39" s="1" t="s">
        <v>21</v>
      </c>
      <c r="J39" s="1" t="s">
        <v>1852</v>
      </c>
      <c r="K39">
        <v>-69.012587</v>
      </c>
      <c r="L39">
        <v>-33.571657</v>
      </c>
      <c r="N39" s="1" t="s">
        <v>1855</v>
      </c>
      <c r="O39">
        <f t="shared" si="1"/>
        <v>-33.571657</v>
      </c>
      <c r="P39">
        <f>IFERROR(__xludf.DUMMYFUNCTION("""COMPUTED_VALUE"""),-69.012587)</f>
        <v>-69.012587</v>
      </c>
      <c r="Q39" t="str">
        <f>IFERROR(__xludf.DUMMYFUNCTION("""COMPUTED_VALUE"""),"Juan B, Justo 777, Mendoza , Argentina")</f>
        <v>Juan B, Justo 777, Mendoza , Argentina</v>
      </c>
      <c r="R39" t="str">
        <f>IFERROR(__xludf.DUMMYFUNCTION("""COMPUTED_VALUE"""),"Juan B, Justo, Tunuyán, Distrito Ciudad de Tunuyán, Mendoza, AR")</f>
        <v>Juan B, Justo, Tunuyán, Distrito Ciudad de Tunuyán, Mendoza, AR</v>
      </c>
    </row>
    <row r="40">
      <c r="A40" s="1">
        <v>64.0</v>
      </c>
      <c r="B40" s="1" t="s">
        <v>12</v>
      </c>
      <c r="C40" s="1">
        <v>13.0</v>
      </c>
      <c r="D40" s="1" t="s">
        <v>1867</v>
      </c>
      <c r="E40" s="1" t="s">
        <v>1282</v>
      </c>
      <c r="F40" s="1" t="s">
        <v>1814</v>
      </c>
      <c r="G40" s="1" t="s">
        <v>1869</v>
      </c>
      <c r="H40" s="1" t="s">
        <v>1869</v>
      </c>
      <c r="I40" s="1" t="s">
        <v>21</v>
      </c>
      <c r="J40" s="1" t="s">
        <v>1870</v>
      </c>
      <c r="K40">
        <v>-68.847913</v>
      </c>
      <c r="L40">
        <v>-32.906834</v>
      </c>
      <c r="N40" s="1" t="s">
        <v>1871</v>
      </c>
      <c r="O40">
        <f t="shared" si="1"/>
        <v>-32.906834</v>
      </c>
      <c r="P40">
        <f>IFERROR(__xludf.DUMMYFUNCTION("""COMPUTED_VALUE"""),-68.847913)</f>
        <v>-68.847913</v>
      </c>
      <c r="Q40" t="str">
        <f>IFERROR(__xludf.DUMMYFUNCTION("""COMPUTED_VALUE"""),"Juan B, Justo 302, Mendoza , Argentina")</f>
        <v>Juan B, Justo 302, Mendoza , Argentina</v>
      </c>
      <c r="R40" t="str">
        <f>IFERROR(__xludf.DUMMYFUNCTION("""COMPUTED_VALUE"""),"Juan B, Justo 302, Villa Mercedes, Departamento Godoy Cruz, Mendoza, AR")</f>
        <v>Juan B, Justo 302, Villa Mercedes, Departamento Godoy Cruz, Mendoza, AR</v>
      </c>
    </row>
    <row r="41">
      <c r="A41" s="1">
        <v>67.0</v>
      </c>
      <c r="B41" s="1" t="s">
        <v>12</v>
      </c>
      <c r="C41" s="1">
        <v>13.0</v>
      </c>
      <c r="D41" s="1" t="s">
        <v>1880</v>
      </c>
      <c r="E41" s="1" t="s">
        <v>1282</v>
      </c>
      <c r="F41" s="1" t="s">
        <v>1814</v>
      </c>
      <c r="G41" s="1" t="s">
        <v>1881</v>
      </c>
      <c r="H41" s="1" t="s">
        <v>1881</v>
      </c>
      <c r="I41" s="1" t="s">
        <v>21</v>
      </c>
      <c r="J41" s="1" t="s">
        <v>1883</v>
      </c>
      <c r="K41">
        <v>-68.847968</v>
      </c>
      <c r="L41">
        <v>-32.906704</v>
      </c>
      <c r="N41" s="1" t="s">
        <v>1886</v>
      </c>
      <c r="O41">
        <f t="shared" si="1"/>
        <v>-32.906704</v>
      </c>
      <c r="P41">
        <f>IFERROR(__xludf.DUMMYFUNCTION("""COMPUTED_VALUE"""),-68.847968)</f>
        <v>-68.847968</v>
      </c>
      <c r="Q41" t="str">
        <f>IFERROR(__xludf.DUMMYFUNCTION("""COMPUTED_VALUE"""),"Juan B, Justo 311, Mendoza , Argentina")</f>
        <v>Juan B, Justo 311, Mendoza , Argentina</v>
      </c>
      <c r="R41" t="str">
        <f>IFERROR(__xludf.DUMMYFUNCTION("""COMPUTED_VALUE"""),"Juan B, Justo 311, Villa Mercedes, Departamento Godoy Cruz, Mendoza, AR")</f>
        <v>Juan B, Justo 311, Villa Mercedes, Departamento Godoy Cruz, Mendoza, AR</v>
      </c>
    </row>
    <row r="42">
      <c r="A42" s="1">
        <v>72.0</v>
      </c>
      <c r="B42" s="1" t="s">
        <v>12</v>
      </c>
      <c r="C42" s="1">
        <v>14.0</v>
      </c>
      <c r="D42" s="1" t="s">
        <v>1895</v>
      </c>
      <c r="E42" s="1" t="s">
        <v>1282</v>
      </c>
      <c r="F42" s="1" t="s">
        <v>1814</v>
      </c>
      <c r="G42" s="1" t="s">
        <v>1897</v>
      </c>
      <c r="H42" s="1" t="s">
        <v>1897</v>
      </c>
      <c r="I42" s="1" t="s">
        <v>21</v>
      </c>
      <c r="J42" s="1" t="s">
        <v>1898</v>
      </c>
      <c r="K42">
        <v>-68.846945</v>
      </c>
      <c r="L42">
        <v>-32.906895</v>
      </c>
      <c r="N42" s="1" t="s">
        <v>1900</v>
      </c>
      <c r="O42">
        <f t="shared" si="1"/>
        <v>-32.906895</v>
      </c>
      <c r="P42">
        <f>IFERROR(__xludf.DUMMYFUNCTION("""COMPUTED_VALUE"""),-68.846945)</f>
        <v>-68.846945</v>
      </c>
      <c r="Q42" t="str">
        <f>IFERROR(__xludf.DUMMYFUNCTION("""COMPUTED_VALUE"""),"Juan B, Justo 244, Mendoza , Argentina")</f>
        <v>Juan B, Justo 244, Mendoza , Argentina</v>
      </c>
      <c r="R42" t="str">
        <f>IFERROR(__xludf.DUMMYFUNCTION("""COMPUTED_VALUE"""),"Juan B, Justo 244, Villa Mercedes, Departamento Godoy Cruz, Mendoza, AR")</f>
        <v>Juan B, Justo 244, Villa Mercedes, Departamento Godoy Cruz, Mendoza, AR</v>
      </c>
    </row>
    <row r="43">
      <c r="A43" s="1">
        <v>180.0</v>
      </c>
      <c r="B43" s="1" t="s">
        <v>29</v>
      </c>
      <c r="C43" s="1">
        <v>9.0</v>
      </c>
      <c r="D43" s="1" t="s">
        <v>1908</v>
      </c>
      <c r="E43" s="1" t="s">
        <v>1282</v>
      </c>
      <c r="F43" s="1" t="s">
        <v>1814</v>
      </c>
      <c r="G43" s="3" t="s">
        <v>1913</v>
      </c>
      <c r="H43" s="3" t="s">
        <v>1913</v>
      </c>
      <c r="I43" s="1" t="s">
        <v>21</v>
      </c>
      <c r="J43" s="1" t="s">
        <v>1916</v>
      </c>
      <c r="K43">
        <v>-67.68561</v>
      </c>
      <c r="L43">
        <v>-34.972739</v>
      </c>
      <c r="N43" s="1" t="s">
        <v>1918</v>
      </c>
      <c r="O43">
        <f t="shared" si="1"/>
        <v>-34.972739</v>
      </c>
      <c r="P43">
        <f>IFERROR(__xludf.DUMMYFUNCTION("""COMPUTED_VALUE"""),-67.68561)</f>
        <v>-67.68561</v>
      </c>
      <c r="Q43" t="str">
        <f>IFERROR(__xludf.DUMMYFUNCTION("""COMPUTED_VALUE"""),"9 de Julio 941, Mendoza , Argentina")</f>
        <v>9 de Julio 941, Mendoza , Argentina</v>
      </c>
      <c r="R43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44">
      <c r="A44" s="1">
        <v>285.0</v>
      </c>
      <c r="B44" s="1" t="s">
        <v>51</v>
      </c>
      <c r="C44" s="1">
        <v>2.0</v>
      </c>
      <c r="D44" s="1" t="s">
        <v>1929</v>
      </c>
      <c r="E44" s="1" t="s">
        <v>1282</v>
      </c>
      <c r="F44" s="1" t="s">
        <v>1814</v>
      </c>
      <c r="G44" s="1" t="s">
        <v>1931</v>
      </c>
      <c r="H44" s="1" t="s">
        <v>1931</v>
      </c>
      <c r="I44" s="1" t="s">
        <v>21</v>
      </c>
      <c r="J44" s="1" t="s">
        <v>1934</v>
      </c>
      <c r="K44">
        <v>-100.445882</v>
      </c>
      <c r="L44">
        <v>39.78373</v>
      </c>
      <c r="N44" s="1" t="s">
        <v>1936</v>
      </c>
      <c r="O44">
        <f t="shared" si="1"/>
        <v>39.78373</v>
      </c>
      <c r="P44">
        <f>IFERROR(__xludf.DUMMYFUNCTION("""COMPUTED_VALUE"""),-100.445882)</f>
        <v>-100.445882</v>
      </c>
      <c r="Q44" t="str">
        <f>IFERROR(__xludf.DUMMYFUNCTION("""COMPUTED_VALUE"""),"Peatonal Sarmiento 161/163, Mendoza , Argentina")</f>
        <v>Peatonal Sarmiento 161/163, Mendoza , Argentina</v>
      </c>
      <c r="R44" t="str">
        <f>IFERROR(__xludf.DUMMYFUNCTION("""COMPUTED_VALUE"""),"US")</f>
        <v>US</v>
      </c>
    </row>
    <row r="45">
      <c r="A45" s="1">
        <v>298.0</v>
      </c>
      <c r="B45" s="1" t="s">
        <v>51</v>
      </c>
      <c r="C45" s="1">
        <v>4.0</v>
      </c>
      <c r="D45" s="1" t="s">
        <v>1945</v>
      </c>
      <c r="E45" s="1" t="s">
        <v>1282</v>
      </c>
      <c r="F45" s="1" t="s">
        <v>1814</v>
      </c>
      <c r="G45" s="1" t="s">
        <v>1947</v>
      </c>
      <c r="H45" s="1" t="s">
        <v>1948</v>
      </c>
      <c r="I45" s="1" t="s">
        <v>21</v>
      </c>
      <c r="J45" s="1" t="s">
        <v>1949</v>
      </c>
      <c r="K45">
        <v>-100.445882</v>
      </c>
      <c r="L45">
        <v>39.78373</v>
      </c>
      <c r="N45" s="1" t="s">
        <v>1951</v>
      </c>
      <c r="O45">
        <f t="shared" si="1"/>
        <v>39.78373</v>
      </c>
      <c r="P45">
        <f>IFERROR(__xludf.DUMMYFUNCTION("""COMPUTED_VALUE"""),-100.445882)</f>
        <v>-100.445882</v>
      </c>
      <c r="Q45" t="str">
        <f>IFERROR(__xludf.DUMMYFUNCTION("""COMPUTED_VALUE"""),"Peatonal Sarmiento 290, Mendoza , Argentina")</f>
        <v>Peatonal Sarmiento 290, Mendoza , Argentina</v>
      </c>
      <c r="R45" t="str">
        <f>IFERROR(__xludf.DUMMYFUNCTION("""COMPUTED_VALUE"""),"US")</f>
        <v>US</v>
      </c>
    </row>
    <row r="46">
      <c r="A46" s="1">
        <v>374.0</v>
      </c>
      <c r="B46" s="1" t="s">
        <v>24</v>
      </c>
      <c r="C46" s="1">
        <v>2.0</v>
      </c>
      <c r="D46" s="1" t="s">
        <v>1954</v>
      </c>
      <c r="E46" s="1" t="s">
        <v>1282</v>
      </c>
      <c r="F46" s="1" t="s">
        <v>1814</v>
      </c>
      <c r="G46" s="1" t="s">
        <v>1955</v>
      </c>
      <c r="H46" s="1" t="s">
        <v>1955</v>
      </c>
      <c r="I46" s="1" t="s">
        <v>21</v>
      </c>
      <c r="J46" s="1" t="s">
        <v>1956</v>
      </c>
      <c r="K46">
        <v>-68.853196</v>
      </c>
      <c r="L46">
        <v>-32.892506</v>
      </c>
      <c r="N46" s="1" t="s">
        <v>1957</v>
      </c>
      <c r="O46">
        <f t="shared" si="1"/>
        <v>-32.892506</v>
      </c>
      <c r="P46">
        <f>IFERROR(__xludf.DUMMYFUNCTION("""COMPUTED_VALUE"""),-68.853196)</f>
        <v>-68.853196</v>
      </c>
      <c r="Q46" t="str">
        <f>IFERROR(__xludf.DUMMYFUNCTION("""COMPUTED_VALUE"""),"Arístides Villanueva 201, Mendoza , Argentina")</f>
        <v>Arístides Villanueva 201, Mendoza , Argentina</v>
      </c>
      <c r="R46" t="str">
        <f>IFERROR(__xludf.DUMMYFUNCTION("""COMPUTED_VALUE"""),"Arístides Villanueva 201, Ciudad de Mendoza, Sección 5ª Residencial Sur, Mendoza, AR")</f>
        <v>Arístides Villanueva 201, Ciudad de Mendoza, Sección 5ª Residencial Sur, Mendoza, AR</v>
      </c>
    </row>
    <row r="47">
      <c r="A47" s="1">
        <v>474.0</v>
      </c>
      <c r="B47" s="1" t="s">
        <v>24</v>
      </c>
      <c r="C47" s="1">
        <v>13.0</v>
      </c>
      <c r="D47" s="1" t="s">
        <v>1960</v>
      </c>
      <c r="E47" s="1" t="s">
        <v>1282</v>
      </c>
      <c r="F47" s="1" t="s">
        <v>1814</v>
      </c>
      <c r="G47" s="1" t="s">
        <v>1962</v>
      </c>
      <c r="H47" s="1" t="s">
        <v>1962</v>
      </c>
      <c r="I47" s="1" t="s">
        <v>21</v>
      </c>
      <c r="J47" s="1" t="s">
        <v>1964</v>
      </c>
      <c r="K47">
        <v>-68.852534</v>
      </c>
      <c r="L47">
        <v>-32.892827</v>
      </c>
      <c r="N47" s="1" t="s">
        <v>1965</v>
      </c>
      <c r="O47">
        <f t="shared" si="1"/>
        <v>-32.892827</v>
      </c>
      <c r="P47">
        <f>IFERROR(__xludf.DUMMYFUNCTION("""COMPUTED_VALUE"""),-68.852534)</f>
        <v>-68.852534</v>
      </c>
      <c r="Q47" t="str">
        <f>IFERROR(__xludf.DUMMYFUNCTION("""COMPUTED_VALUE"""),"Arístides Villanueva 156, Mendoza , Argentina")</f>
        <v>Arístides Villanueva 156, Mendoza , Argentina</v>
      </c>
      <c r="R47" t="str">
        <f>IFERROR(__xludf.DUMMYFUNCTION("""COMPUTED_VALUE"""),"Arístides Villanueva 156, Ciudad de Mendoza, Sección 5ª Residencial Sur, Mendoza, AR")</f>
        <v>Arístides Villanueva 156, Ciudad de Mendoza, Sección 5ª Residencial Sur, Mendoza, AR</v>
      </c>
    </row>
    <row r="48">
      <c r="A48" s="1">
        <v>701.0</v>
      </c>
      <c r="B48" s="1" t="s">
        <v>36</v>
      </c>
      <c r="C48" s="1">
        <v>6.0</v>
      </c>
      <c r="D48" s="1" t="s">
        <v>1970</v>
      </c>
      <c r="E48" s="1" t="s">
        <v>1282</v>
      </c>
      <c r="F48" s="1" t="s">
        <v>1814</v>
      </c>
      <c r="G48" s="1" t="s">
        <v>1971</v>
      </c>
      <c r="H48" s="1" t="s">
        <v>1971</v>
      </c>
      <c r="I48" s="1" t="s">
        <v>21</v>
      </c>
      <c r="J48" s="1" t="s">
        <v>1972</v>
      </c>
      <c r="K48">
        <v>-68.83804</v>
      </c>
      <c r="L48">
        <v>-32.885271</v>
      </c>
      <c r="N48" s="1" t="s">
        <v>1975</v>
      </c>
      <c r="O48">
        <f t="shared" si="1"/>
        <v>-32.885271</v>
      </c>
      <c r="P48">
        <f>IFERROR(__xludf.DUMMYFUNCTION("""COMPUTED_VALUE"""),-68.83804)</f>
        <v>-68.83804</v>
      </c>
      <c r="Q48" t="str">
        <f>IFERROR(__xludf.DUMMYFUNCTION("""COMPUTED_VALUE"""),"Av, San Martín 2117, Mendoza , Argentina")</f>
        <v>Av, San Martín 2117, Mendoza , Argentina</v>
      </c>
      <c r="R48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49">
      <c r="A49" s="1">
        <v>727.0</v>
      </c>
      <c r="B49" s="1" t="s">
        <v>36</v>
      </c>
      <c r="C49" s="1">
        <v>10.0</v>
      </c>
      <c r="D49" s="1" t="s">
        <v>1981</v>
      </c>
      <c r="E49" s="1" t="s">
        <v>1282</v>
      </c>
      <c r="F49" s="1" t="s">
        <v>1814</v>
      </c>
      <c r="G49" s="1" t="s">
        <v>1983</v>
      </c>
      <c r="H49" s="1" t="s">
        <v>1983</v>
      </c>
      <c r="I49" s="1" t="s">
        <v>21</v>
      </c>
      <c r="J49" s="1" t="s">
        <v>1984</v>
      </c>
      <c r="K49">
        <v>-68.83804</v>
      </c>
      <c r="L49">
        <v>-32.885271</v>
      </c>
      <c r="N49" s="1" t="s">
        <v>1985</v>
      </c>
      <c r="O49">
        <f t="shared" si="1"/>
        <v>-32.885271</v>
      </c>
      <c r="P49">
        <f>IFERROR(__xludf.DUMMYFUNCTION("""COMPUTED_VALUE"""),-68.83804)</f>
        <v>-68.83804</v>
      </c>
      <c r="Q49" t="str">
        <f>IFERROR(__xludf.DUMMYFUNCTION("""COMPUTED_VALUE"""),"Av, San Martín 2252, Mendoza , Argentina")</f>
        <v>Av, San Martín 2252, Mendoza , Argentina</v>
      </c>
      <c r="R4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50">
      <c r="A50" s="1">
        <v>972.0</v>
      </c>
      <c r="B50" s="1" t="s">
        <v>62</v>
      </c>
      <c r="C50" s="1">
        <v>2.0</v>
      </c>
      <c r="D50" s="1" t="s">
        <v>1401</v>
      </c>
      <c r="E50" s="1" t="s">
        <v>1282</v>
      </c>
      <c r="F50" s="1" t="s">
        <v>1814</v>
      </c>
      <c r="G50" s="1" t="s">
        <v>1990</v>
      </c>
      <c r="H50" s="1" t="s">
        <v>1404</v>
      </c>
      <c r="I50" s="1" t="s">
        <v>21</v>
      </c>
      <c r="J50" s="1" t="s">
        <v>1991</v>
      </c>
      <c r="K50">
        <v>-68.845681</v>
      </c>
      <c r="L50">
        <v>-32.894025</v>
      </c>
      <c r="N50" s="1" t="s">
        <v>1992</v>
      </c>
      <c r="O50">
        <f t="shared" si="1"/>
        <v>-32.894025</v>
      </c>
      <c r="P50">
        <f>IFERROR(__xludf.DUMMYFUNCTION("""COMPUTED_VALUE"""),-68.845681)</f>
        <v>-68.845681</v>
      </c>
      <c r="Q50" t="str">
        <f>IFERROR(__xludf.DUMMYFUNCTION("""COMPUTED_VALUE"""),"Av, Colón 157, Mendoza , Argentina")</f>
        <v>Av, Colón 157, Mendoza , Argentina</v>
      </c>
      <c r="R5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1">
      <c r="A51" s="1">
        <v>973.0</v>
      </c>
      <c r="B51" s="1" t="s">
        <v>62</v>
      </c>
      <c r="C51" s="1">
        <v>2.0</v>
      </c>
      <c r="D51" s="1" t="s">
        <v>1996</v>
      </c>
      <c r="E51" s="1" t="s">
        <v>1282</v>
      </c>
      <c r="F51" s="1" t="s">
        <v>1814</v>
      </c>
      <c r="G51" s="1" t="s">
        <v>1998</v>
      </c>
      <c r="H51" s="1" t="s">
        <v>2000</v>
      </c>
      <c r="I51" s="1" t="s">
        <v>21</v>
      </c>
      <c r="J51" s="1" t="s">
        <v>2003</v>
      </c>
      <c r="K51">
        <v>-68.845681</v>
      </c>
      <c r="L51">
        <v>-32.894025</v>
      </c>
      <c r="N51" s="1" t="s">
        <v>2004</v>
      </c>
      <c r="O51">
        <f t="shared" si="1"/>
        <v>-32.894025</v>
      </c>
      <c r="P51">
        <f>IFERROR(__xludf.DUMMYFUNCTION("""COMPUTED_VALUE"""),-68.845681)</f>
        <v>-68.845681</v>
      </c>
      <c r="Q51" t="str">
        <f>IFERROR(__xludf.DUMMYFUNCTION("""COMPUTED_VALUE"""),"Av, Colón 163, Mendoza , Argentina")</f>
        <v>Av, Colón 163, Mendoza , Argentina</v>
      </c>
      <c r="R5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2">
      <c r="A52" s="1">
        <v>982.0</v>
      </c>
      <c r="B52" s="1" t="s">
        <v>62</v>
      </c>
      <c r="C52" s="1">
        <v>3.0</v>
      </c>
      <c r="D52" s="1" t="s">
        <v>2012</v>
      </c>
      <c r="E52" s="1" t="s">
        <v>1282</v>
      </c>
      <c r="F52" s="1" t="s">
        <v>1814</v>
      </c>
      <c r="G52" s="1" t="s">
        <v>2013</v>
      </c>
      <c r="H52" s="1" t="s">
        <v>2013</v>
      </c>
      <c r="I52" s="1" t="s">
        <v>21</v>
      </c>
      <c r="J52" s="1" t="s">
        <v>2016</v>
      </c>
      <c r="K52">
        <v>-68.845681</v>
      </c>
      <c r="L52">
        <v>-32.894025</v>
      </c>
      <c r="N52" s="1" t="s">
        <v>2018</v>
      </c>
      <c r="O52">
        <f t="shared" si="1"/>
        <v>-32.894025</v>
      </c>
      <c r="P52">
        <f>IFERROR(__xludf.DUMMYFUNCTION("""COMPUTED_VALUE"""),-68.845681)</f>
        <v>-68.845681</v>
      </c>
      <c r="Q52" t="str">
        <f>IFERROR(__xludf.DUMMYFUNCTION("""COMPUTED_VALUE"""),"Av, Colón 235, Mendoza , Argentina")</f>
        <v>Av, Colón 235, Mendoza , Argentina</v>
      </c>
      <c r="R5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3">
      <c r="B53" s="1" t="s">
        <v>62</v>
      </c>
      <c r="C53" s="1">
        <v>4.0</v>
      </c>
      <c r="D53" s="1" t="s">
        <v>2023</v>
      </c>
      <c r="E53" s="1" t="s">
        <v>1282</v>
      </c>
      <c r="F53" s="1" t="s">
        <v>1814</v>
      </c>
      <c r="G53" s="1" t="s">
        <v>2024</v>
      </c>
      <c r="H53" s="1" t="s">
        <v>2024</v>
      </c>
      <c r="I53" s="1" t="s">
        <v>21</v>
      </c>
      <c r="J53" s="1" t="s">
        <v>2026</v>
      </c>
      <c r="K53">
        <v>-68.845681</v>
      </c>
      <c r="L53">
        <v>-32.894025</v>
      </c>
      <c r="N53" s="1" t="s">
        <v>2028</v>
      </c>
      <c r="O53">
        <f t="shared" si="1"/>
        <v>-32.894025</v>
      </c>
      <c r="P53">
        <f>IFERROR(__xludf.DUMMYFUNCTION("""COMPUTED_VALUE"""),-68.845681)</f>
        <v>-68.845681</v>
      </c>
      <c r="Q53" t="str">
        <f>IFERROR(__xludf.DUMMYFUNCTION("""COMPUTED_VALUE"""),"Av, Colón 351, Mendoza , Argentina")</f>
        <v>Av, Colón 351, Mendoza , Argentina</v>
      </c>
      <c r="R5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4">
      <c r="A54" s="1">
        <v>1007.0</v>
      </c>
      <c r="B54" s="1" t="s">
        <v>62</v>
      </c>
      <c r="C54" s="1">
        <v>5.0</v>
      </c>
      <c r="D54" s="1" t="s">
        <v>2035</v>
      </c>
      <c r="E54" s="1" t="s">
        <v>1282</v>
      </c>
      <c r="F54" s="1" t="s">
        <v>1814</v>
      </c>
      <c r="G54" s="1" t="s">
        <v>2038</v>
      </c>
      <c r="H54" s="1" t="s">
        <v>2038</v>
      </c>
      <c r="I54" s="1" t="s">
        <v>21</v>
      </c>
      <c r="J54" s="1" t="s">
        <v>2040</v>
      </c>
      <c r="K54">
        <v>-68.846573</v>
      </c>
      <c r="L54">
        <v>-32.89377</v>
      </c>
      <c r="N54" s="1" t="s">
        <v>2041</v>
      </c>
      <c r="O54">
        <f t="shared" si="1"/>
        <v>-32.89377</v>
      </c>
      <c r="P54">
        <f>IFERROR(__xludf.DUMMYFUNCTION("""COMPUTED_VALUE"""),-68.846573)</f>
        <v>-68.846573</v>
      </c>
      <c r="Q54" t="str">
        <f>IFERROR(__xludf.DUMMYFUNCTION("""COMPUTED_VALUE"""),"Av, Colón 485, Mendoza , Argentina")</f>
        <v>Av, Colón 485, Mendoza , Argentina</v>
      </c>
      <c r="R54" t="str">
        <f>IFERROR(__xludf.DUMMYFUNCTION("""COMPUTED_VALUE"""),"Avenida Colón 485, Ciudad de Mendoza, Sección 2ª Barrio Cívico, Mendoza, AR")</f>
        <v>Avenida Colón 485, Ciudad de Mendoza, Sección 2ª Barrio Cívico, Mendoza, AR</v>
      </c>
    </row>
    <row r="55">
      <c r="A55" s="1">
        <v>1013.0</v>
      </c>
      <c r="B55" s="1" t="s">
        <v>62</v>
      </c>
      <c r="C55" s="1">
        <v>6.0</v>
      </c>
      <c r="D55" s="1" t="s">
        <v>2051</v>
      </c>
      <c r="E55" s="1" t="s">
        <v>1282</v>
      </c>
      <c r="F55" s="1" t="s">
        <v>1814</v>
      </c>
      <c r="G55" s="1" t="s">
        <v>2052</v>
      </c>
      <c r="H55" s="1" t="s">
        <v>2052</v>
      </c>
      <c r="I55" s="1" t="s">
        <v>21</v>
      </c>
      <c r="J55" s="1" t="s">
        <v>2054</v>
      </c>
      <c r="K55">
        <v>-68.845681</v>
      </c>
      <c r="L55">
        <v>-32.894025</v>
      </c>
      <c r="N55" s="1" t="s">
        <v>2055</v>
      </c>
      <c r="O55">
        <f t="shared" si="1"/>
        <v>-32.894025</v>
      </c>
      <c r="P55">
        <f>IFERROR(__xludf.DUMMYFUNCTION("""COMPUTED_VALUE"""),-68.845681)</f>
        <v>-68.845681</v>
      </c>
      <c r="Q55" t="str">
        <f>IFERROR(__xludf.DUMMYFUNCTION("""COMPUTED_VALUE"""),"Av, Colón 547, Mendoza , Argentina")</f>
        <v>Av, Colón 547, Mendoza , Argentina</v>
      </c>
      <c r="R55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6">
      <c r="A56" s="1">
        <v>1014.0</v>
      </c>
      <c r="B56" s="1" t="s">
        <v>62</v>
      </c>
      <c r="C56" s="1">
        <v>6.0</v>
      </c>
      <c r="D56" s="1" t="s">
        <v>2062</v>
      </c>
      <c r="E56" s="1" t="s">
        <v>1282</v>
      </c>
      <c r="F56" s="1" t="s">
        <v>1814</v>
      </c>
      <c r="G56" s="1" t="s">
        <v>2063</v>
      </c>
      <c r="H56" s="1" t="s">
        <v>2063</v>
      </c>
      <c r="I56" s="1" t="s">
        <v>21</v>
      </c>
      <c r="J56" s="1" t="s">
        <v>2064</v>
      </c>
      <c r="K56">
        <v>-68.845681</v>
      </c>
      <c r="L56">
        <v>-32.894025</v>
      </c>
      <c r="N56" s="1" t="s">
        <v>2065</v>
      </c>
      <c r="O56">
        <f t="shared" si="1"/>
        <v>-32.894025</v>
      </c>
      <c r="P56">
        <f>IFERROR(__xludf.DUMMYFUNCTION("""COMPUTED_VALUE"""),-68.845681)</f>
        <v>-68.845681</v>
      </c>
      <c r="Q56" t="str">
        <f>IFERROR(__xludf.DUMMYFUNCTION("""COMPUTED_VALUE"""),"Av, Colón 569, Mendoza , Argentina")</f>
        <v>Av, Colón 569, Mendoza , Argentina</v>
      </c>
      <c r="R56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57">
      <c r="A57" s="1">
        <v>1019.0</v>
      </c>
      <c r="B57" s="1" t="s">
        <v>62</v>
      </c>
      <c r="C57" s="1">
        <v>7.0</v>
      </c>
      <c r="D57" s="1" t="s">
        <v>2072</v>
      </c>
      <c r="E57" s="1" t="s">
        <v>1282</v>
      </c>
      <c r="F57" s="1" t="s">
        <v>1814</v>
      </c>
      <c r="G57" s="1" t="s">
        <v>933</v>
      </c>
      <c r="H57" s="1" t="s">
        <v>2073</v>
      </c>
      <c r="I57" s="1" t="s">
        <v>21</v>
      </c>
      <c r="J57" s="1" t="s">
        <v>934</v>
      </c>
      <c r="K57">
        <v>-68.84862</v>
      </c>
      <c r="L57">
        <v>-32.893363</v>
      </c>
      <c r="N57" s="1" t="s">
        <v>2074</v>
      </c>
      <c r="O57">
        <f t="shared" si="1"/>
        <v>-32.893363</v>
      </c>
      <c r="P57">
        <f>IFERROR(__xludf.DUMMYFUNCTION("""COMPUTED_VALUE"""),-68.84862)</f>
        <v>-68.84862</v>
      </c>
      <c r="Q57" t="str">
        <f>IFERROR(__xludf.DUMMYFUNCTION("""COMPUTED_VALUE"""),"Av, Colón 653, Mendoza , Argentina")</f>
        <v>Av, Colón 653, Mendoza , Argentina</v>
      </c>
      <c r="R57" t="str">
        <f>IFERROR(__xludf.DUMMYFUNCTION("""COMPUTED_VALUE"""),"Avenida Colón 653, Ciudad de Mendoza, Sección 2ª Barrio Cívico, Mendoza, AR")</f>
        <v>Avenida Colón 653, Ciudad de Mendoza, Sección 2ª Barrio Cívico, Mendoza, AR</v>
      </c>
    </row>
    <row r="58">
      <c r="A58" s="1">
        <v>1026.0</v>
      </c>
      <c r="B58" s="1" t="s">
        <v>62</v>
      </c>
      <c r="C58" s="1">
        <v>9.0</v>
      </c>
      <c r="D58" s="1" t="s">
        <v>2082</v>
      </c>
      <c r="E58" s="1" t="s">
        <v>1282</v>
      </c>
      <c r="F58" s="1" t="s">
        <v>1814</v>
      </c>
      <c r="G58" s="1" t="s">
        <v>2084</v>
      </c>
      <c r="H58" s="1" t="s">
        <v>2085</v>
      </c>
      <c r="I58" s="1" t="s">
        <v>21</v>
      </c>
      <c r="J58" s="1" t="s">
        <v>2088</v>
      </c>
      <c r="K58">
        <v>-68.850516</v>
      </c>
      <c r="L58">
        <v>-32.893214</v>
      </c>
      <c r="N58" s="1" t="s">
        <v>2090</v>
      </c>
      <c r="O58">
        <f t="shared" si="1"/>
        <v>-32.893214</v>
      </c>
      <c r="P58">
        <f>IFERROR(__xludf.DUMMYFUNCTION("""COMPUTED_VALUE"""),-68.850516)</f>
        <v>-68.850516</v>
      </c>
      <c r="Q58" t="str">
        <f>IFERROR(__xludf.DUMMYFUNCTION("""COMPUTED_VALUE"""),"Av, Colón 782, Mendoza , Argentina")</f>
        <v>Av, Colón 782, Mendoza , Argentina</v>
      </c>
      <c r="R58" t="str">
        <f>IFERROR(__xludf.DUMMYFUNCTION("""COMPUTED_VALUE"""),"Avenida Colón 782, Ciudad de Mendoza, Sección 5ª Residencial Sur, Mendoza, AR")</f>
        <v>Avenida Colón 782, Ciudad de Mendoza, Sección 5ª Residencial Sur, Mendoza, AR</v>
      </c>
    </row>
    <row r="59">
      <c r="A59" s="1">
        <v>1040.0</v>
      </c>
      <c r="B59" s="1" t="s">
        <v>62</v>
      </c>
      <c r="C59" s="1">
        <v>10.0</v>
      </c>
      <c r="D59" s="1" t="s">
        <v>1368</v>
      </c>
      <c r="E59" s="1" t="s">
        <v>1282</v>
      </c>
      <c r="F59" s="1" t="s">
        <v>1814</v>
      </c>
      <c r="G59" s="1" t="s">
        <v>1370</v>
      </c>
      <c r="H59" s="1" t="s">
        <v>1370</v>
      </c>
      <c r="I59" s="1" t="s">
        <v>21</v>
      </c>
      <c r="J59" s="1" t="s">
        <v>2099</v>
      </c>
      <c r="K59">
        <v>-68.848797</v>
      </c>
      <c r="L59">
        <v>-32.893514</v>
      </c>
      <c r="N59" s="1" t="s">
        <v>2101</v>
      </c>
      <c r="O59">
        <f t="shared" si="1"/>
        <v>-32.893514</v>
      </c>
      <c r="P59">
        <f>IFERROR(__xludf.DUMMYFUNCTION("""COMPUTED_VALUE"""),-68.848797)</f>
        <v>-68.848797</v>
      </c>
      <c r="Q59" t="str">
        <f>IFERROR(__xludf.DUMMYFUNCTION("""COMPUTED_VALUE"""),"Av, Colón 646, Mendoza , Argentina")</f>
        <v>Av, Colón 646, Mendoza , Argentina</v>
      </c>
      <c r="R59" t="str">
        <f>IFERROR(__xludf.DUMMYFUNCTION("""COMPUTED_VALUE"""),"Avenida Colón 646, Ciudad de Mendoza, Sección 2ª Barrio Cívico, Mendoza, AR")</f>
        <v>Avenida Colón 646, Ciudad de Mendoza, Sección 2ª Barrio Cívico, Mendoza, AR</v>
      </c>
    </row>
    <row r="60">
      <c r="A60" s="1">
        <v>1050.0</v>
      </c>
      <c r="B60" s="1" t="s">
        <v>62</v>
      </c>
      <c r="C60" s="1">
        <v>11.0</v>
      </c>
      <c r="D60" s="1" t="s">
        <v>2110</v>
      </c>
      <c r="E60" s="1" t="s">
        <v>1282</v>
      </c>
      <c r="F60" s="1" t="s">
        <v>1814</v>
      </c>
      <c r="G60" s="1" t="s">
        <v>1932</v>
      </c>
      <c r="H60" s="1" t="s">
        <v>2113</v>
      </c>
      <c r="I60" s="1" t="s">
        <v>21</v>
      </c>
      <c r="J60" s="1" t="s">
        <v>1935</v>
      </c>
      <c r="K60">
        <v>-68.847233</v>
      </c>
      <c r="L60">
        <v>-32.893813</v>
      </c>
      <c r="N60" s="1" t="s">
        <v>2115</v>
      </c>
      <c r="O60">
        <f t="shared" si="1"/>
        <v>-32.893813</v>
      </c>
      <c r="P60">
        <f>IFERROR(__xludf.DUMMYFUNCTION("""COMPUTED_VALUE"""),-68.847233)</f>
        <v>-68.847233</v>
      </c>
      <c r="Q60" t="str">
        <f>IFERROR(__xludf.DUMMYFUNCTION("""COMPUTED_VALUE"""),"Av, Colón 518, Mendoza , Argentina")</f>
        <v>Av, Colón 518, Mendoza , Argentina</v>
      </c>
      <c r="R60" t="str">
        <f>IFERROR(__xludf.DUMMYFUNCTION("""COMPUTED_VALUE"""),"Avenida Colón 518, Ciudad de Mendoza, Sección 2ª Barrio Cívico, Mendoza, AR")</f>
        <v>Avenida Colón 518, Ciudad de Mendoza, Sección 2ª Barrio Cívico, Mendoza, AR</v>
      </c>
    </row>
    <row r="61">
      <c r="A61" s="1">
        <v>1079.0</v>
      </c>
      <c r="B61" s="1" t="s">
        <v>62</v>
      </c>
      <c r="C61" s="1">
        <v>13.0</v>
      </c>
      <c r="D61" s="1" t="s">
        <v>2023</v>
      </c>
      <c r="E61" s="1" t="s">
        <v>1282</v>
      </c>
      <c r="F61" s="1" t="s">
        <v>1814</v>
      </c>
      <c r="G61" s="1" t="s">
        <v>2121</v>
      </c>
      <c r="H61" s="1" t="s">
        <v>2121</v>
      </c>
      <c r="I61" s="1" t="s">
        <v>21</v>
      </c>
      <c r="J61" s="1" t="s">
        <v>2122</v>
      </c>
      <c r="K61">
        <v>-68.845681</v>
      </c>
      <c r="L61">
        <v>-32.894025</v>
      </c>
      <c r="N61" s="1" t="s">
        <v>2124</v>
      </c>
      <c r="O61">
        <f t="shared" si="1"/>
        <v>-32.894025</v>
      </c>
      <c r="P61">
        <f>IFERROR(__xludf.DUMMYFUNCTION("""COMPUTED_VALUE"""),-68.845681)</f>
        <v>-68.845681</v>
      </c>
      <c r="Q61" t="str">
        <f>IFERROR(__xludf.DUMMYFUNCTION("""COMPUTED_VALUE"""),"Av, Colón 350, Mendoza , Argentina")</f>
        <v>Av, Colón 350, Mendoza , Argentina</v>
      </c>
      <c r="R6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62">
      <c r="A62" s="1">
        <v>1088.0</v>
      </c>
      <c r="B62" s="1" t="s">
        <v>62</v>
      </c>
      <c r="C62" s="1">
        <v>14.0</v>
      </c>
      <c r="D62" s="1" t="s">
        <v>2133</v>
      </c>
      <c r="E62" s="1" t="s">
        <v>1282</v>
      </c>
      <c r="F62" s="1" t="s">
        <v>1814</v>
      </c>
      <c r="G62" s="1" t="s">
        <v>2134</v>
      </c>
      <c r="H62" s="1" t="s">
        <v>2134</v>
      </c>
      <c r="I62" s="1" t="s">
        <v>21</v>
      </c>
      <c r="J62" s="1" t="s">
        <v>2136</v>
      </c>
      <c r="K62">
        <v>-68.845681</v>
      </c>
      <c r="L62">
        <v>-32.894025</v>
      </c>
      <c r="N62" s="1" t="s">
        <v>2137</v>
      </c>
      <c r="O62">
        <f t="shared" si="1"/>
        <v>-32.894025</v>
      </c>
      <c r="P62">
        <f>IFERROR(__xludf.DUMMYFUNCTION("""COMPUTED_VALUE"""),-68.845681)</f>
        <v>-68.845681</v>
      </c>
      <c r="Q62" t="str">
        <f>IFERROR(__xludf.DUMMYFUNCTION("""COMPUTED_VALUE"""),"Av, Colón 284, Mendoza , Argentina")</f>
        <v>Av, Colón 284, Mendoza , Argentina</v>
      </c>
      <c r="R6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63">
      <c r="B63" s="1" t="s">
        <v>62</v>
      </c>
      <c r="C63" s="1">
        <v>16.0</v>
      </c>
      <c r="D63" s="1" t="s">
        <v>2146</v>
      </c>
      <c r="E63" s="1" t="s">
        <v>1282</v>
      </c>
      <c r="F63" s="1" t="s">
        <v>1814</v>
      </c>
      <c r="G63" s="1" t="s">
        <v>73</v>
      </c>
      <c r="H63" s="1" t="s">
        <v>73</v>
      </c>
      <c r="I63" s="1" t="s">
        <v>21</v>
      </c>
      <c r="J63" s="1" t="s">
        <v>75</v>
      </c>
      <c r="K63">
        <v>-68.845681</v>
      </c>
      <c r="L63">
        <v>-32.894025</v>
      </c>
      <c r="N63" s="1" t="s">
        <v>2147</v>
      </c>
      <c r="O63">
        <f t="shared" si="1"/>
        <v>-32.894025</v>
      </c>
      <c r="P63">
        <f>IFERROR(__xludf.DUMMYFUNCTION("""COMPUTED_VALUE"""),-68.845681)</f>
        <v>-68.845681</v>
      </c>
      <c r="Q63" t="str">
        <f>IFERROR(__xludf.DUMMYFUNCTION("""COMPUTED_VALUE"""),"Av, Colón 102, Mendoza , Argentina")</f>
        <v>Av, Colón 102, Mendoza , Argentina</v>
      </c>
      <c r="R6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64">
      <c r="A64" s="1">
        <v>1122.0</v>
      </c>
      <c r="B64" s="1" t="s">
        <v>120</v>
      </c>
      <c r="C64" s="1">
        <v>2.0</v>
      </c>
      <c r="D64" s="1" t="s">
        <v>2098</v>
      </c>
      <c r="E64" s="1" t="s">
        <v>1282</v>
      </c>
      <c r="F64" s="1" t="s">
        <v>1814</v>
      </c>
      <c r="G64" s="1" t="s">
        <v>2100</v>
      </c>
      <c r="H64" s="1" t="s">
        <v>2100</v>
      </c>
      <c r="I64" s="1" t="s">
        <v>21</v>
      </c>
      <c r="J64" s="1" t="s">
        <v>2152</v>
      </c>
      <c r="K64">
        <v>-68.84806</v>
      </c>
      <c r="L64">
        <v>-32.887937</v>
      </c>
      <c r="N64" s="1" t="s">
        <v>2153</v>
      </c>
      <c r="O64">
        <f t="shared" si="1"/>
        <v>-32.887937</v>
      </c>
      <c r="P64">
        <f>IFERROR(__xludf.DUMMYFUNCTION("""COMPUTED_VALUE"""),-68.84806)</f>
        <v>-68.84806</v>
      </c>
      <c r="Q64" t="str">
        <f>IFERROR(__xludf.DUMMYFUNCTION("""COMPUTED_VALUE"""),"Espejo 151, Mendoza , Argentina")</f>
        <v>Espejo 151, Mendoza , Argentina</v>
      </c>
      <c r="R64" t="str">
        <f>IFERROR(__xludf.DUMMYFUNCTION("""COMPUTED_VALUE"""),"Espejo, Ciudad de Mendoza, Sección 2ª Barrio Cívico, Mendoza, AR")</f>
        <v>Espejo, Ciudad de Mendoza, Sección 2ª Barrio Cívico, Mendoza, AR</v>
      </c>
    </row>
    <row r="65">
      <c r="A65" s="1">
        <v>1138.0</v>
      </c>
      <c r="B65" s="1" t="s">
        <v>120</v>
      </c>
      <c r="C65" s="1">
        <v>3.0</v>
      </c>
      <c r="D65" s="1" t="s">
        <v>2160</v>
      </c>
      <c r="E65" s="1" t="s">
        <v>1282</v>
      </c>
      <c r="F65" s="1" t="s">
        <v>1814</v>
      </c>
      <c r="G65" s="1" t="s">
        <v>2161</v>
      </c>
      <c r="H65" s="1" t="s">
        <v>2161</v>
      </c>
      <c r="I65" s="1" t="s">
        <v>21</v>
      </c>
      <c r="J65" s="1" t="s">
        <v>2162</v>
      </c>
      <c r="K65">
        <v>-68.844186</v>
      </c>
      <c r="L65">
        <v>-32.888641</v>
      </c>
      <c r="N65" s="1" t="s">
        <v>2164</v>
      </c>
      <c r="O65">
        <f t="shared" si="1"/>
        <v>-32.888641</v>
      </c>
      <c r="P65">
        <f>IFERROR(__xludf.DUMMYFUNCTION("""COMPUTED_VALUE"""),-68.844186)</f>
        <v>-68.844186</v>
      </c>
      <c r="Q65" t="str">
        <f>IFERROR(__xludf.DUMMYFUNCTION("""COMPUTED_VALUE"""),"Espejo 291, Mendoza , Argentina")</f>
        <v>Espejo 291, Mendoza , Argentina</v>
      </c>
      <c r="R65" t="str">
        <f>IFERROR(__xludf.DUMMYFUNCTION("""COMPUTED_VALUE"""),"Espejo, Ciudad de Mendoza, Sección 2ª Barrio Cívico, Mendoza, AR")</f>
        <v>Espejo, Ciudad de Mendoza, Sección 2ª Barrio Cívico, Mendoza, AR</v>
      </c>
    </row>
    <row r="66">
      <c r="A66" s="1">
        <v>1201.0</v>
      </c>
      <c r="B66" s="1" t="s">
        <v>227</v>
      </c>
      <c r="C66" s="1">
        <v>2.0</v>
      </c>
      <c r="D66" s="1" t="s">
        <v>2184</v>
      </c>
      <c r="E66" s="1" t="s">
        <v>1282</v>
      </c>
      <c r="F66" s="1" t="s">
        <v>1814</v>
      </c>
      <c r="G66" s="1" t="s">
        <v>2186</v>
      </c>
      <c r="H66" s="1" t="s">
        <v>2186</v>
      </c>
      <c r="I66" s="1" t="s">
        <v>21</v>
      </c>
      <c r="J66" s="1" t="s">
        <v>2189</v>
      </c>
      <c r="K66">
        <v>-67.688023</v>
      </c>
      <c r="L66">
        <v>-34.979176</v>
      </c>
      <c r="N66" s="1" t="s">
        <v>2192</v>
      </c>
      <c r="O66">
        <f t="shared" si="1"/>
        <v>-34.979176</v>
      </c>
      <c r="P66">
        <f>IFERROR(__xludf.DUMMYFUNCTION("""COMPUTED_VALUE"""),-67.688023)</f>
        <v>-67.688023</v>
      </c>
      <c r="Q66" t="str">
        <f>IFERROR(__xludf.DUMMYFUNCTION("""COMPUTED_VALUE"""),"Godoy Cruz 187, Mendoza , Argentina")</f>
        <v>Godoy Cruz 187, Mendoza , Argentina</v>
      </c>
      <c r="R66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67">
      <c r="A67" s="1">
        <v>1212.0</v>
      </c>
      <c r="B67" s="1" t="s">
        <v>227</v>
      </c>
      <c r="C67" s="1">
        <v>4.0</v>
      </c>
      <c r="D67" s="1" t="s">
        <v>2197</v>
      </c>
      <c r="E67" s="1" t="s">
        <v>1282</v>
      </c>
      <c r="F67" s="1" t="s">
        <v>1814</v>
      </c>
      <c r="G67" s="1" t="s">
        <v>2198</v>
      </c>
      <c r="H67" s="1" t="s">
        <v>2198</v>
      </c>
      <c r="I67" s="1" t="s">
        <v>21</v>
      </c>
      <c r="J67" s="1" t="s">
        <v>2199</v>
      </c>
      <c r="K67">
        <v>-67.688023</v>
      </c>
      <c r="L67">
        <v>-34.979176</v>
      </c>
      <c r="N67" s="1" t="s">
        <v>2202</v>
      </c>
      <c r="O67">
        <f t="shared" si="1"/>
        <v>-34.979176</v>
      </c>
      <c r="P67">
        <f>IFERROR(__xludf.DUMMYFUNCTION("""COMPUTED_VALUE"""),-67.688023)</f>
        <v>-67.688023</v>
      </c>
      <c r="Q67" t="str">
        <f>IFERROR(__xludf.DUMMYFUNCTION("""COMPUTED_VALUE"""),"Godoy Cruz 333, Mendoza , Argentina")</f>
        <v>Godoy Cruz 333, Mendoza , Argentina</v>
      </c>
      <c r="R67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68">
      <c r="A68" s="1">
        <v>1217.0</v>
      </c>
      <c r="B68" s="1" t="s">
        <v>227</v>
      </c>
      <c r="C68" s="1">
        <v>6.0</v>
      </c>
      <c r="D68" s="1" t="s">
        <v>2218</v>
      </c>
      <c r="E68" s="1" t="s">
        <v>1282</v>
      </c>
      <c r="F68" s="1" t="s">
        <v>1814</v>
      </c>
      <c r="G68" s="1" t="s">
        <v>2219</v>
      </c>
      <c r="H68" s="1" t="s">
        <v>2219</v>
      </c>
      <c r="I68" s="1" t="s">
        <v>21</v>
      </c>
      <c r="J68" s="1" t="s">
        <v>2220</v>
      </c>
      <c r="K68">
        <v>-67.688023</v>
      </c>
      <c r="L68">
        <v>-34.979176</v>
      </c>
      <c r="N68" s="1" t="s">
        <v>2222</v>
      </c>
      <c r="O68">
        <f t="shared" si="1"/>
        <v>-34.979176</v>
      </c>
      <c r="P68">
        <f>IFERROR(__xludf.DUMMYFUNCTION("""COMPUTED_VALUE"""),-67.688023)</f>
        <v>-67.688023</v>
      </c>
      <c r="Q68" t="str">
        <f>IFERROR(__xludf.DUMMYFUNCTION("""COMPUTED_VALUE"""),"Godoy Cruz 440, Mendoza , Argentina")</f>
        <v>Godoy Cruz 440, Mendoza , Argentina</v>
      </c>
      <c r="R68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69">
      <c r="A69" s="1">
        <v>1368.0</v>
      </c>
      <c r="D69" s="1" t="s">
        <v>2234</v>
      </c>
      <c r="E69" s="1" t="s">
        <v>1282</v>
      </c>
      <c r="F69" s="1" t="s">
        <v>1814</v>
      </c>
      <c r="G69" s="1" t="s">
        <v>2236</v>
      </c>
      <c r="I69" s="1" t="s">
        <v>21</v>
      </c>
      <c r="J69" s="1" t="s">
        <v>2238</v>
      </c>
      <c r="K69">
        <v>-100.445882</v>
      </c>
      <c r="L69">
        <v>39.78373</v>
      </c>
      <c r="N69" s="1" t="s">
        <v>2239</v>
      </c>
      <c r="O69">
        <f t="shared" si="1"/>
        <v>39.78373</v>
      </c>
      <c r="P69">
        <f>IFERROR(__xludf.DUMMYFUNCTION("""COMPUTED_VALUE"""),-100.445882)</f>
        <v>-100.445882</v>
      </c>
      <c r="Q69" t="str">
        <f>IFERROR(__xludf.DUMMYFUNCTION("""COMPUTED_VALUE"""),"San Martín 1360 local 14, Mendoza , Argentina")</f>
        <v>San Martín 1360 local 14, Mendoza , Argentina</v>
      </c>
      <c r="R69" t="str">
        <f>IFERROR(__xludf.DUMMYFUNCTION("""COMPUTED_VALUE"""),"US")</f>
        <v>US</v>
      </c>
    </row>
    <row r="70">
      <c r="A70" s="1">
        <v>1578.0</v>
      </c>
      <c r="D70" s="1" t="s">
        <v>2249</v>
      </c>
      <c r="E70" s="1" t="s">
        <v>1282</v>
      </c>
      <c r="F70" s="1" t="s">
        <v>1814</v>
      </c>
      <c r="G70" s="1" t="s">
        <v>2250</v>
      </c>
      <c r="I70" s="1" t="s">
        <v>21</v>
      </c>
      <c r="J70" s="1" t="s">
        <v>2251</v>
      </c>
      <c r="K70">
        <v>-100.445882</v>
      </c>
      <c r="L70">
        <v>39.78373</v>
      </c>
      <c r="N70" s="1" t="s">
        <v>2254</v>
      </c>
      <c r="O70">
        <f t="shared" si="1"/>
        <v>39.78373</v>
      </c>
      <c r="P70">
        <f>IFERROR(__xludf.DUMMYFUNCTION("""COMPUTED_VALUE"""),-100.445882)</f>
        <v>-100.445882</v>
      </c>
      <c r="Q70" t="str">
        <f>IFERROR(__xludf.DUMMYFUNCTION("""COMPUTED_VALUE"""),"San Martín 1672 local 16, Mendoza , Argentina")</f>
        <v>San Martín 1672 local 16, Mendoza , Argentina</v>
      </c>
      <c r="R70" t="str">
        <f>IFERROR(__xludf.DUMMYFUNCTION("""COMPUTED_VALUE"""),"US")</f>
        <v>US</v>
      </c>
    </row>
    <row r="71">
      <c r="A71" s="1">
        <v>1590.0</v>
      </c>
      <c r="D71" s="1" t="s">
        <v>2267</v>
      </c>
      <c r="E71" s="1" t="s">
        <v>1282</v>
      </c>
      <c r="F71" s="1" t="s">
        <v>1814</v>
      </c>
      <c r="G71" s="1" t="s">
        <v>2269</v>
      </c>
      <c r="I71" s="1" t="s">
        <v>21</v>
      </c>
      <c r="J71" s="1" t="s">
        <v>2270</v>
      </c>
      <c r="K71">
        <v>-100.445882</v>
      </c>
      <c r="L71">
        <v>39.78373</v>
      </c>
      <c r="N71" s="1" t="s">
        <v>2272</v>
      </c>
      <c r="O71">
        <f t="shared" si="1"/>
        <v>39.78373</v>
      </c>
      <c r="P71">
        <f>IFERROR(__xludf.DUMMYFUNCTION("""COMPUTED_VALUE"""),-100.445882)</f>
        <v>-100.445882</v>
      </c>
      <c r="Q71" t="str">
        <f>IFERROR(__xludf.DUMMYFUNCTION("""COMPUTED_VALUE"""),"San Martín 1136 local 7, Mendoza , Argentina")</f>
        <v>San Martín 1136 local 7, Mendoza , Argentina</v>
      </c>
      <c r="R71" t="str">
        <f>IFERROR(__xludf.DUMMYFUNCTION("""COMPUTED_VALUE"""),"US")</f>
        <v>US</v>
      </c>
    </row>
    <row r="72">
      <c r="A72" s="1">
        <v>105.0</v>
      </c>
      <c r="B72" s="1" t="s">
        <v>29</v>
      </c>
      <c r="C72" s="1">
        <v>2.0</v>
      </c>
      <c r="D72" s="1" t="s">
        <v>416</v>
      </c>
      <c r="E72" s="1" t="s">
        <v>1282</v>
      </c>
      <c r="F72" s="1" t="s">
        <v>417</v>
      </c>
      <c r="G72" s="3" t="s">
        <v>421</v>
      </c>
      <c r="H72" s="3" t="s">
        <v>421</v>
      </c>
      <c r="I72" s="1" t="s">
        <v>21</v>
      </c>
      <c r="J72" s="1" t="s">
        <v>423</v>
      </c>
      <c r="K72">
        <v>-67.68561</v>
      </c>
      <c r="L72">
        <v>-34.972739</v>
      </c>
      <c r="N72" s="1" t="s">
        <v>2299</v>
      </c>
      <c r="O72">
        <f t="shared" si="1"/>
        <v>-34.972739</v>
      </c>
      <c r="P72">
        <f>IFERROR(__xludf.DUMMYFUNCTION("""COMPUTED_VALUE"""),-67.68561)</f>
        <v>-67.68561</v>
      </c>
      <c r="Q72" t="str">
        <f>IFERROR(__xludf.DUMMYFUNCTION("""COMPUTED_VALUE"""),"9 de Julio 1562, Mendoza , Argentina")</f>
        <v>9 de Julio 1562, Mendoza , Argentina</v>
      </c>
      <c r="R72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73">
      <c r="A73" s="1">
        <v>112.0</v>
      </c>
      <c r="B73" s="1" t="s">
        <v>29</v>
      </c>
      <c r="C73" s="1">
        <v>2.0</v>
      </c>
      <c r="D73" s="1" t="s">
        <v>426</v>
      </c>
      <c r="E73" s="1" t="s">
        <v>1282</v>
      </c>
      <c r="F73" s="1" t="s">
        <v>417</v>
      </c>
      <c r="G73" s="3" t="s">
        <v>427</v>
      </c>
      <c r="H73" s="3" t="s">
        <v>427</v>
      </c>
      <c r="I73" s="1" t="s">
        <v>21</v>
      </c>
      <c r="J73" s="1" t="s">
        <v>429</v>
      </c>
      <c r="K73">
        <v>-67.68561</v>
      </c>
      <c r="L73">
        <v>-34.972739</v>
      </c>
      <c r="N73" s="1" t="s">
        <v>2326</v>
      </c>
      <c r="O73">
        <f t="shared" si="1"/>
        <v>-34.972739</v>
      </c>
      <c r="P73">
        <f>IFERROR(__xludf.DUMMYFUNCTION("""COMPUTED_VALUE"""),-67.68561)</f>
        <v>-67.68561</v>
      </c>
      <c r="Q73" t="str">
        <f>IFERROR(__xludf.DUMMYFUNCTION("""COMPUTED_VALUE"""),"9 de Julio 1514, Mendoza , Argentina")</f>
        <v>9 de Julio 1514, Mendoza , Argentina</v>
      </c>
      <c r="R73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74">
      <c r="A74" s="1">
        <v>236.0</v>
      </c>
      <c r="B74" s="1" t="s">
        <v>29</v>
      </c>
      <c r="C74" s="1">
        <v>14.0</v>
      </c>
      <c r="D74" s="1" t="s">
        <v>431</v>
      </c>
      <c r="E74" s="1" t="s">
        <v>1282</v>
      </c>
      <c r="F74" s="1" t="s">
        <v>417</v>
      </c>
      <c r="G74" s="3" t="s">
        <v>432</v>
      </c>
      <c r="H74" s="3" t="s">
        <v>432</v>
      </c>
      <c r="I74" s="1" t="s">
        <v>21</v>
      </c>
      <c r="J74" s="1" t="s">
        <v>434</v>
      </c>
      <c r="K74">
        <v>-67.68561</v>
      </c>
      <c r="L74">
        <v>-34.972739</v>
      </c>
      <c r="N74" s="1" t="s">
        <v>2346</v>
      </c>
      <c r="O74">
        <f t="shared" si="1"/>
        <v>-34.972739</v>
      </c>
      <c r="P74">
        <f>IFERROR(__xludf.DUMMYFUNCTION("""COMPUTED_VALUE"""),-67.68561)</f>
        <v>-67.68561</v>
      </c>
      <c r="Q74" t="str">
        <f>IFERROR(__xludf.DUMMYFUNCTION("""COMPUTED_VALUE"""),"9 de julio 1495, Mendoza , Argentina")</f>
        <v>9 de julio 1495, Mendoza , Argentina</v>
      </c>
      <c r="R74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75">
      <c r="A75" s="1">
        <v>288.0</v>
      </c>
      <c r="B75" s="1" t="s">
        <v>51</v>
      </c>
      <c r="C75" s="1">
        <v>3.0</v>
      </c>
      <c r="D75" s="1" t="s">
        <v>436</v>
      </c>
      <c r="E75" s="1" t="s">
        <v>1282</v>
      </c>
      <c r="F75" s="1" t="s">
        <v>417</v>
      </c>
      <c r="G75" s="1" t="s">
        <v>437</v>
      </c>
      <c r="H75" s="1" t="s">
        <v>437</v>
      </c>
      <c r="I75" s="1" t="s">
        <v>21</v>
      </c>
      <c r="J75" s="1" t="s">
        <v>439</v>
      </c>
      <c r="K75">
        <v>-100.445882</v>
      </c>
      <c r="L75">
        <v>39.78373</v>
      </c>
      <c r="N75" s="1" t="s">
        <v>2355</v>
      </c>
      <c r="O75">
        <f t="shared" si="1"/>
        <v>39.78373</v>
      </c>
      <c r="P75">
        <f>IFERROR(__xludf.DUMMYFUNCTION("""COMPUTED_VALUE"""),-100.445882)</f>
        <v>-100.445882</v>
      </c>
      <c r="Q75" t="str">
        <f>IFERROR(__xludf.DUMMYFUNCTION("""COMPUTED_VALUE"""),"Peatonal Sarmiento y España , Mendoza , Argentina")</f>
        <v>Peatonal Sarmiento y España , Mendoza , Argentina</v>
      </c>
      <c r="R75" t="str">
        <f>IFERROR(__xludf.DUMMYFUNCTION("""COMPUTED_VALUE"""),"US")</f>
        <v>US</v>
      </c>
    </row>
    <row r="76">
      <c r="A76" s="1">
        <v>292.0</v>
      </c>
      <c r="B76" s="1" t="s">
        <v>51</v>
      </c>
      <c r="C76" s="1">
        <v>3.0</v>
      </c>
      <c r="D76" s="1" t="s">
        <v>441</v>
      </c>
      <c r="E76" s="1" t="s">
        <v>1282</v>
      </c>
      <c r="F76" s="1" t="s">
        <v>417</v>
      </c>
      <c r="G76" s="1" t="s">
        <v>442</v>
      </c>
      <c r="H76" s="1" t="s">
        <v>442</v>
      </c>
      <c r="I76" s="1" t="s">
        <v>21</v>
      </c>
      <c r="J76" s="1" t="s">
        <v>445</v>
      </c>
      <c r="K76">
        <v>-68.840714</v>
      </c>
      <c r="L76">
        <v>-32.890424</v>
      </c>
      <c r="N76" s="1" t="s">
        <v>2363</v>
      </c>
      <c r="O76">
        <f t="shared" si="1"/>
        <v>-32.890424</v>
      </c>
      <c r="P76">
        <f>IFERROR(__xludf.DUMMYFUNCTION("""COMPUTED_VALUE"""),-68.840714)</f>
        <v>-68.840714</v>
      </c>
      <c r="Q76" t="str">
        <f>IFERROR(__xludf.DUMMYFUNCTION("""COMPUTED_VALUE"""),"Peatonal Sarmiento 227, Mendoza , Argentina")</f>
        <v>Peatonal Sarmiento 227, Mendoza , Argentina</v>
      </c>
      <c r="R76" t="str">
        <f>IFERROR(__xludf.DUMMYFUNCTION("""COMPUTED_VALUE"""),"Sarmiento, Ciudad de Mendoza, Sección 3ª Parque O'Higgins, Mendoza, AR")</f>
        <v>Sarmiento, Ciudad de Mendoza, Sección 3ª Parque O'Higgins, Mendoza, AR</v>
      </c>
    </row>
    <row r="77">
      <c r="A77" s="1">
        <v>587.0</v>
      </c>
      <c r="B77" s="1" t="s">
        <v>109</v>
      </c>
      <c r="C77" s="1">
        <v>10.0</v>
      </c>
      <c r="D77" s="1" t="s">
        <v>447</v>
      </c>
      <c r="E77" s="1" t="s">
        <v>1282</v>
      </c>
      <c r="F77" s="1" t="s">
        <v>417</v>
      </c>
      <c r="G77" s="1" t="s">
        <v>449</v>
      </c>
      <c r="H77" s="1" t="s">
        <v>450</v>
      </c>
      <c r="I77" s="1" t="s">
        <v>21</v>
      </c>
      <c r="J77" s="1" t="s">
        <v>452</v>
      </c>
      <c r="K77">
        <v>-68.838402</v>
      </c>
      <c r="L77">
        <v>-32.886465</v>
      </c>
      <c r="N77" s="1" t="s">
        <v>2374</v>
      </c>
      <c r="O77">
        <f t="shared" si="1"/>
        <v>-32.886465</v>
      </c>
      <c r="P77">
        <f>IFERROR(__xludf.DUMMYFUNCTION("""COMPUTED_VALUE"""),-68.838402)</f>
        <v>-68.838402</v>
      </c>
      <c r="Q77" t="str">
        <f>IFERROR(__xludf.DUMMYFUNCTION("""COMPUTED_VALUE"""),"Av, San Martín 1498, Mendoza , Argentina")</f>
        <v>Av, San Martín 1498, Mendoza , Argentina</v>
      </c>
      <c r="R77" t="str">
        <f>IFERROR(__xludf.DUMMYFUNCTION("""COMPUTED_VALUE"""),"Avenida San Martín 1498, Ciudad de Mendoza, Sección 3ª Parque O'Higgins, Mendoza, AR")</f>
        <v>Avenida San Martín 1498, Ciudad de Mendoza, Sección 3ª Parque O'Higgins, Mendoza, AR</v>
      </c>
    </row>
    <row r="78">
      <c r="A78" s="1">
        <v>633.0</v>
      </c>
      <c r="B78" s="1" t="s">
        <v>109</v>
      </c>
      <c r="C78" s="1">
        <v>14.0</v>
      </c>
      <c r="D78" s="1" t="s">
        <v>416</v>
      </c>
      <c r="E78" s="1" t="s">
        <v>1282</v>
      </c>
      <c r="F78" s="1" t="s">
        <v>417</v>
      </c>
      <c r="G78" s="1" t="s">
        <v>454</v>
      </c>
      <c r="H78" s="1" t="s">
        <v>455</v>
      </c>
      <c r="I78" s="1" t="s">
        <v>21</v>
      </c>
      <c r="J78" s="1" t="s">
        <v>456</v>
      </c>
      <c r="K78">
        <v>-68.839691</v>
      </c>
      <c r="L78">
        <v>-32.891336</v>
      </c>
      <c r="N78" s="1" t="s">
        <v>2383</v>
      </c>
      <c r="O78">
        <f t="shared" si="1"/>
        <v>-32.891336</v>
      </c>
      <c r="P78">
        <f>IFERROR(__xludf.DUMMYFUNCTION("""COMPUTED_VALUE"""),-68.839691)</f>
        <v>-68.839691</v>
      </c>
      <c r="Q78" t="str">
        <f>IFERROR(__xludf.DUMMYFUNCTION("""COMPUTED_VALUE"""),"Av, San Martín 1040, Mendoza , Argentina")</f>
        <v>Av, San Martín 1040, Mendoza , Argentina</v>
      </c>
      <c r="R78" t="str">
        <f>IFERROR(__xludf.DUMMYFUNCTION("""COMPUTED_VALUE"""),"Avenida San Martín 1040, Ciudad de Mendoza, Sección 3ª Parque O'Higgins, Mendoza, AR")</f>
        <v>Avenida San Martín 1040, Ciudad de Mendoza, Sección 3ª Parque O'Higgins, Mendoza, AR</v>
      </c>
    </row>
    <row r="79">
      <c r="A79" s="1">
        <v>641.0</v>
      </c>
      <c r="B79" s="1" t="s">
        <v>109</v>
      </c>
      <c r="C79" s="1">
        <v>14.0</v>
      </c>
      <c r="D79" s="1" t="s">
        <v>426</v>
      </c>
      <c r="E79" s="1" t="s">
        <v>1282</v>
      </c>
      <c r="F79" s="1" t="s">
        <v>417</v>
      </c>
      <c r="G79" s="1" t="s">
        <v>459</v>
      </c>
      <c r="H79" s="1" t="s">
        <v>459</v>
      </c>
      <c r="I79" s="1" t="s">
        <v>21</v>
      </c>
      <c r="J79" s="1" t="s">
        <v>461</v>
      </c>
      <c r="K79">
        <v>-100.445882</v>
      </c>
      <c r="L79">
        <v>39.78373</v>
      </c>
      <c r="N79" s="1" t="s">
        <v>2392</v>
      </c>
      <c r="O79">
        <f t="shared" si="1"/>
        <v>39.78373</v>
      </c>
      <c r="P79">
        <f>IFERROR(__xludf.DUMMYFUNCTION("""COMPUTED_VALUE"""),-100.445882)</f>
        <v>-100.445882</v>
      </c>
      <c r="Q79" t="str">
        <f>IFERROR(__xludf.DUMMYFUNCTION("""COMPUTED_VALUE"""),"Av, San Martín 1070 local 11, Mendoza , Argentina")</f>
        <v>Av, San Martín 1070 local 11, Mendoza , Argentina</v>
      </c>
      <c r="R79" t="str">
        <f>IFERROR(__xludf.DUMMYFUNCTION("""COMPUTED_VALUE"""),"US")</f>
        <v>US</v>
      </c>
    </row>
    <row r="80">
      <c r="A80" s="1">
        <v>799.0</v>
      </c>
      <c r="B80" s="1" t="s">
        <v>55</v>
      </c>
      <c r="C80" s="1">
        <v>2.0</v>
      </c>
      <c r="D80" s="1" t="s">
        <v>462</v>
      </c>
      <c r="E80" s="1" t="s">
        <v>1282</v>
      </c>
      <c r="F80" s="1" t="s">
        <v>417</v>
      </c>
      <c r="G80" s="1" t="s">
        <v>463</v>
      </c>
      <c r="H80" s="1" t="s">
        <v>463</v>
      </c>
      <c r="I80" s="1" t="s">
        <v>21</v>
      </c>
      <c r="J80" s="1" t="s">
        <v>465</v>
      </c>
      <c r="K80">
        <v>-100.445882</v>
      </c>
      <c r="L80">
        <v>39.78373</v>
      </c>
      <c r="N80" s="1" t="s">
        <v>2404</v>
      </c>
      <c r="O80">
        <f t="shared" si="1"/>
        <v>39.78373</v>
      </c>
      <c r="P80">
        <f>IFERROR(__xludf.DUMMYFUNCTION("""COMPUTED_VALUE"""),-100.445882)</f>
        <v>-100.445882</v>
      </c>
      <c r="Q80" t="str">
        <f>IFERROR(__xludf.DUMMYFUNCTION("""COMPUTED_VALUE"""),"9 de Julio y Av, Las Heras 101, Mendoza , Argentina")</f>
        <v>9 de Julio y Av, Las Heras 101, Mendoza , Argentina</v>
      </c>
      <c r="R80" t="str">
        <f>IFERROR(__xludf.DUMMYFUNCTION("""COMPUTED_VALUE"""),"US")</f>
        <v>US</v>
      </c>
    </row>
    <row r="81">
      <c r="A81" s="1">
        <v>988.0</v>
      </c>
      <c r="B81" s="1" t="s">
        <v>62</v>
      </c>
      <c r="C81" s="1">
        <v>3.0</v>
      </c>
      <c r="D81" s="1" t="s">
        <v>468</v>
      </c>
      <c r="E81" s="1" t="s">
        <v>1282</v>
      </c>
      <c r="F81" s="1" t="s">
        <v>417</v>
      </c>
      <c r="G81" s="1" t="s">
        <v>469</v>
      </c>
      <c r="H81" s="1" t="s">
        <v>469</v>
      </c>
      <c r="I81" s="1" t="s">
        <v>21</v>
      </c>
      <c r="J81" s="1" t="s">
        <v>470</v>
      </c>
      <c r="K81">
        <v>-68.845681</v>
      </c>
      <c r="L81">
        <v>-32.894025</v>
      </c>
      <c r="N81" s="1" t="s">
        <v>2417</v>
      </c>
      <c r="O81">
        <f t="shared" si="1"/>
        <v>-32.894025</v>
      </c>
      <c r="P81">
        <f>IFERROR(__xludf.DUMMYFUNCTION("""COMPUTED_VALUE"""),-68.845681)</f>
        <v>-68.845681</v>
      </c>
      <c r="Q81" t="str">
        <f>IFERROR(__xludf.DUMMYFUNCTION("""COMPUTED_VALUE"""),"Av, Colón 307, Mendoza , Argentina")</f>
        <v>Av, Colón 307, Mendoza , Argentina</v>
      </c>
      <c r="R8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82">
      <c r="A82" s="1">
        <v>1002.0</v>
      </c>
      <c r="B82" s="1" t="s">
        <v>62</v>
      </c>
      <c r="C82" s="1">
        <v>5.0</v>
      </c>
      <c r="D82" s="1" t="s">
        <v>416</v>
      </c>
      <c r="E82" s="1" t="s">
        <v>1282</v>
      </c>
      <c r="F82" s="1" t="s">
        <v>417</v>
      </c>
      <c r="G82" s="1" t="s">
        <v>473</v>
      </c>
      <c r="H82" s="1" t="s">
        <v>474</v>
      </c>
      <c r="I82" s="1" t="s">
        <v>21</v>
      </c>
      <c r="J82" s="1" t="s">
        <v>476</v>
      </c>
      <c r="K82">
        <v>-68.845681</v>
      </c>
      <c r="L82">
        <v>-32.894025</v>
      </c>
      <c r="N82" s="1" t="s">
        <v>2433</v>
      </c>
      <c r="O82">
        <f t="shared" si="1"/>
        <v>-32.894025</v>
      </c>
      <c r="P82">
        <f>IFERROR(__xludf.DUMMYFUNCTION("""COMPUTED_VALUE"""),-68.845681)</f>
        <v>-68.845681</v>
      </c>
      <c r="Q82" t="str">
        <f>IFERROR(__xludf.DUMMYFUNCTION("""COMPUTED_VALUE"""),"Av, Colón 423, Mendoza , Argentina")</f>
        <v>Av, Colón 423, Mendoza , Argentina</v>
      </c>
      <c r="R8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83">
      <c r="A83" s="1">
        <v>1020.0</v>
      </c>
      <c r="B83" s="1" t="s">
        <v>62</v>
      </c>
      <c r="C83" s="1">
        <v>7.0</v>
      </c>
      <c r="D83" s="1" t="s">
        <v>485</v>
      </c>
      <c r="E83" s="1" t="s">
        <v>1282</v>
      </c>
      <c r="F83" s="1" t="s">
        <v>417</v>
      </c>
      <c r="G83" s="1" t="s">
        <v>487</v>
      </c>
      <c r="H83" s="1" t="s">
        <v>487</v>
      </c>
      <c r="I83" s="1" t="s">
        <v>21</v>
      </c>
      <c r="J83" s="1" t="s">
        <v>489</v>
      </c>
      <c r="K83">
        <v>-68.845681</v>
      </c>
      <c r="L83">
        <v>-32.894025</v>
      </c>
      <c r="N83" s="1" t="s">
        <v>2446</v>
      </c>
      <c r="O83">
        <f t="shared" si="1"/>
        <v>-32.894025</v>
      </c>
      <c r="P83">
        <f>IFERROR(__xludf.DUMMYFUNCTION("""COMPUTED_VALUE"""),-68.845681)</f>
        <v>-68.845681</v>
      </c>
      <c r="Q83" t="str">
        <f>IFERROR(__xludf.DUMMYFUNCTION("""COMPUTED_VALUE"""),"Av, Colón 665, Mendoza , Argentina")</f>
        <v>Av, Colón 665, Mendoza , Argentina</v>
      </c>
      <c r="R8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84">
      <c r="A84" s="1">
        <v>1119.0</v>
      </c>
      <c r="B84" s="1" t="s">
        <v>120</v>
      </c>
      <c r="C84" s="1">
        <v>2.0</v>
      </c>
      <c r="D84" s="1" t="s">
        <v>490</v>
      </c>
      <c r="E84" s="1" t="s">
        <v>1282</v>
      </c>
      <c r="F84" s="1" t="s">
        <v>417</v>
      </c>
      <c r="G84" s="1" t="s">
        <v>491</v>
      </c>
      <c r="H84" s="1" t="s">
        <v>491</v>
      </c>
      <c r="I84" s="1" t="s">
        <v>21</v>
      </c>
      <c r="J84" s="1" t="s">
        <v>493</v>
      </c>
      <c r="K84">
        <v>-68.84806</v>
      </c>
      <c r="L84">
        <v>-32.887937</v>
      </c>
      <c r="N84" s="1" t="s">
        <v>2455</v>
      </c>
      <c r="O84">
        <f t="shared" si="1"/>
        <v>-32.887937</v>
      </c>
      <c r="P84">
        <f>IFERROR(__xludf.DUMMYFUNCTION("""COMPUTED_VALUE"""),-68.84806)</f>
        <v>-68.84806</v>
      </c>
      <c r="Q84" t="str">
        <f>IFERROR(__xludf.DUMMYFUNCTION("""COMPUTED_VALUE"""),"Espejo 101, Mendoza , Argentina")</f>
        <v>Espejo 101, Mendoza , Argentina</v>
      </c>
      <c r="R84" t="str">
        <f>IFERROR(__xludf.DUMMYFUNCTION("""COMPUTED_VALUE"""),"Espejo, Ciudad de Mendoza, Sección 2ª Barrio Cívico, Mendoza, AR")</f>
        <v>Espejo, Ciudad de Mendoza, Sección 2ª Barrio Cívico, Mendoza, AR</v>
      </c>
    </row>
    <row r="85">
      <c r="A85" s="1">
        <v>1120.0</v>
      </c>
      <c r="B85" s="1" t="s">
        <v>120</v>
      </c>
      <c r="C85" s="1">
        <v>2.0</v>
      </c>
      <c r="D85" s="1" t="s">
        <v>495</v>
      </c>
      <c r="E85" s="1" t="s">
        <v>1282</v>
      </c>
      <c r="F85" s="1" t="s">
        <v>417</v>
      </c>
      <c r="G85" s="1" t="s">
        <v>496</v>
      </c>
      <c r="H85" s="1" t="s">
        <v>496</v>
      </c>
      <c r="I85" s="1" t="s">
        <v>21</v>
      </c>
      <c r="J85" s="1" t="s">
        <v>498</v>
      </c>
      <c r="K85">
        <v>-68.84806</v>
      </c>
      <c r="L85">
        <v>-32.887937</v>
      </c>
      <c r="N85" s="1" t="s">
        <v>2464</v>
      </c>
      <c r="O85">
        <f t="shared" si="1"/>
        <v>-32.887937</v>
      </c>
      <c r="P85">
        <f>IFERROR(__xludf.DUMMYFUNCTION("""COMPUTED_VALUE"""),-68.84806)</f>
        <v>-68.84806</v>
      </c>
      <c r="Q85" t="str">
        <f>IFERROR(__xludf.DUMMYFUNCTION("""COMPUTED_VALUE"""),"Espejo 109, Mendoza , Argentina")</f>
        <v>Espejo 109, Mendoza , Argentina</v>
      </c>
      <c r="R85" t="str">
        <f>IFERROR(__xludf.DUMMYFUNCTION("""COMPUTED_VALUE"""),"Espejo, Ciudad de Mendoza, Sección 2ª Barrio Cívico, Mendoza, AR")</f>
        <v>Espejo, Ciudad de Mendoza, Sección 2ª Barrio Cívico, Mendoza, AR</v>
      </c>
    </row>
    <row r="86">
      <c r="B86" s="1" t="s">
        <v>120</v>
      </c>
      <c r="C86" s="1">
        <v>3.0</v>
      </c>
      <c r="D86" s="1" t="s">
        <v>500</v>
      </c>
      <c r="E86" s="1" t="s">
        <v>1282</v>
      </c>
      <c r="F86" s="1" t="s">
        <v>417</v>
      </c>
      <c r="G86" s="1" t="s">
        <v>502</v>
      </c>
      <c r="H86" s="1" t="s">
        <v>502</v>
      </c>
      <c r="I86" s="1" t="s">
        <v>21</v>
      </c>
      <c r="J86" s="1" t="s">
        <v>503</v>
      </c>
      <c r="K86">
        <v>-68.84806</v>
      </c>
      <c r="L86">
        <v>-32.887937</v>
      </c>
      <c r="N86" s="1" t="s">
        <v>2476</v>
      </c>
      <c r="O86">
        <f t="shared" si="1"/>
        <v>-32.887937</v>
      </c>
      <c r="P86">
        <f>IFERROR(__xludf.DUMMYFUNCTION("""COMPUTED_VALUE"""),-68.84806)</f>
        <v>-68.84806</v>
      </c>
      <c r="Q86" t="str">
        <f>IFERROR(__xludf.DUMMYFUNCTION("""COMPUTED_VALUE"""),"Espejo 223, Mendoza , Argentina")</f>
        <v>Espejo 223, Mendoza , Argentina</v>
      </c>
      <c r="R86" t="str">
        <f>IFERROR(__xludf.DUMMYFUNCTION("""COMPUTED_VALUE"""),"Espejo, Ciudad de Mendoza, Sección 2ª Barrio Cívico, Mendoza, AR")</f>
        <v>Espejo, Ciudad de Mendoza, Sección 2ª Barrio Cívico, Mendoza, AR</v>
      </c>
    </row>
    <row r="87">
      <c r="A87" s="1">
        <v>1157.0</v>
      </c>
      <c r="B87" s="1" t="s">
        <v>120</v>
      </c>
      <c r="C87" s="1">
        <v>5.0</v>
      </c>
      <c r="D87" s="1" t="s">
        <v>505</v>
      </c>
      <c r="E87" s="1" t="s">
        <v>1282</v>
      </c>
      <c r="F87" s="1" t="s">
        <v>417</v>
      </c>
      <c r="G87" s="1" t="s">
        <v>506</v>
      </c>
      <c r="H87" s="1" t="s">
        <v>506</v>
      </c>
      <c r="I87" s="1" t="s">
        <v>21</v>
      </c>
      <c r="J87" s="1" t="s">
        <v>508</v>
      </c>
      <c r="K87">
        <v>-68.84806</v>
      </c>
      <c r="L87">
        <v>-32.887937</v>
      </c>
      <c r="N87" s="1" t="s">
        <v>2487</v>
      </c>
      <c r="O87">
        <f t="shared" si="1"/>
        <v>-32.887937</v>
      </c>
      <c r="P87">
        <f>IFERROR(__xludf.DUMMYFUNCTION("""COMPUTED_VALUE"""),-68.84806)</f>
        <v>-68.84806</v>
      </c>
      <c r="Q87" t="str">
        <f>IFERROR(__xludf.DUMMYFUNCTION("""COMPUTED_VALUE"""),"Espejo 166, Mendoza , Argentina")</f>
        <v>Espejo 166, Mendoza , Argentina</v>
      </c>
      <c r="R87" t="str">
        <f>IFERROR(__xludf.DUMMYFUNCTION("""COMPUTED_VALUE"""),"Espejo, Ciudad de Mendoza, Sección 2ª Barrio Cívico, Mendoza, AR")</f>
        <v>Espejo, Ciudad de Mendoza, Sección 2ª Barrio Cívico, Mendoza, AR</v>
      </c>
    </row>
    <row r="88">
      <c r="A88" s="1">
        <v>1240.0</v>
      </c>
      <c r="B88" s="1" t="s">
        <v>227</v>
      </c>
      <c r="C88" s="1">
        <v>10.0</v>
      </c>
      <c r="D88" s="1" t="s">
        <v>510</v>
      </c>
      <c r="E88" s="1" t="s">
        <v>1282</v>
      </c>
      <c r="F88" s="1" t="s">
        <v>417</v>
      </c>
      <c r="G88" s="1" t="s">
        <v>511</v>
      </c>
      <c r="H88" s="1" t="s">
        <v>511</v>
      </c>
      <c r="I88" s="1" t="s">
        <v>21</v>
      </c>
      <c r="J88" s="1" t="s">
        <v>513</v>
      </c>
      <c r="K88">
        <v>-67.688023</v>
      </c>
      <c r="L88">
        <v>-34.979176</v>
      </c>
      <c r="N88" s="1" t="s">
        <v>2495</v>
      </c>
      <c r="O88">
        <f t="shared" si="1"/>
        <v>-34.979176</v>
      </c>
      <c r="P88">
        <f>IFERROR(__xludf.DUMMYFUNCTION("""COMPUTED_VALUE"""),-67.688023)</f>
        <v>-67.688023</v>
      </c>
      <c r="Q88" t="str">
        <f>IFERROR(__xludf.DUMMYFUNCTION("""COMPUTED_VALUE"""),"Godoy Cruz 46, Mendoza , Argentina")</f>
        <v>Godoy Cruz 46, Mendoza , Argentina</v>
      </c>
      <c r="R88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89">
      <c r="A89" s="1">
        <v>1260.0</v>
      </c>
      <c r="B89" s="1" t="s">
        <v>248</v>
      </c>
      <c r="C89" s="1">
        <v>2.0</v>
      </c>
      <c r="D89" s="1" t="s">
        <v>515</v>
      </c>
      <c r="E89" s="1" t="s">
        <v>1282</v>
      </c>
      <c r="F89" s="1" t="s">
        <v>417</v>
      </c>
      <c r="G89" s="1" t="s">
        <v>517</v>
      </c>
      <c r="H89" s="1" t="s">
        <v>517</v>
      </c>
      <c r="I89" s="1" t="s">
        <v>21</v>
      </c>
      <c r="J89" s="1" t="s">
        <v>518</v>
      </c>
      <c r="K89">
        <v>-67.683115</v>
      </c>
      <c r="L89">
        <v>-34.974904</v>
      </c>
      <c r="N89" s="1" t="s">
        <v>2507</v>
      </c>
      <c r="O89">
        <f t="shared" si="1"/>
        <v>-34.974904</v>
      </c>
      <c r="P89">
        <f>IFERROR(__xludf.DUMMYFUNCTION("""COMPUTED_VALUE"""),-67.683115)</f>
        <v>-67.683115</v>
      </c>
      <c r="Q89" t="str">
        <f>IFERROR(__xludf.DUMMYFUNCTION("""COMPUTED_VALUE"""),"España 1540, Mendoza , Argentina")</f>
        <v>España 1540, Mendoza , Argentina</v>
      </c>
      <c r="R89" t="str">
        <f>IFERROR(__xludf.DUMMYFUNCTION("""COMPUTED_VALUE"""),"España, General Alvear, Distrito Ciudad de General Alvear, Mendoza, AR")</f>
        <v>España, General Alvear, Distrito Ciudad de General Alvear, Mendoza, AR</v>
      </c>
    </row>
    <row r="90">
      <c r="A90" s="1">
        <v>1278.0</v>
      </c>
      <c r="B90" s="1" t="s">
        <v>248</v>
      </c>
      <c r="C90" s="1">
        <v>6.0</v>
      </c>
      <c r="D90" s="1" t="s">
        <v>436</v>
      </c>
      <c r="E90" s="1" t="s">
        <v>1282</v>
      </c>
      <c r="F90" s="1" t="s">
        <v>417</v>
      </c>
      <c r="G90" s="1" t="s">
        <v>522</v>
      </c>
      <c r="H90" s="1" t="s">
        <v>522</v>
      </c>
      <c r="I90" s="1" t="s">
        <v>21</v>
      </c>
      <c r="J90" s="1" t="s">
        <v>523</v>
      </c>
      <c r="K90">
        <v>-67.683115</v>
      </c>
      <c r="L90">
        <v>-34.974904</v>
      </c>
      <c r="N90" s="1" t="s">
        <v>2523</v>
      </c>
      <c r="O90">
        <f t="shared" si="1"/>
        <v>-34.974904</v>
      </c>
      <c r="P90">
        <f>IFERROR(__xludf.DUMMYFUNCTION("""COMPUTED_VALUE"""),-67.683115)</f>
        <v>-67.683115</v>
      </c>
      <c r="Q90" t="str">
        <f>IFERROR(__xludf.DUMMYFUNCTION("""COMPUTED_VALUE"""),"España 1102, Mendoza , Argentina")</f>
        <v>España 1102, Mendoza , Argentina</v>
      </c>
      <c r="R90" t="str">
        <f>IFERROR(__xludf.DUMMYFUNCTION("""COMPUTED_VALUE"""),"España, General Alvear, Distrito Ciudad de General Alvear, Mendoza, AR")</f>
        <v>España, General Alvear, Distrito Ciudad de General Alvear, Mendoza, AR</v>
      </c>
    </row>
    <row r="91">
      <c r="A91" s="1">
        <v>1272.0</v>
      </c>
      <c r="B91" s="1" t="s">
        <v>248</v>
      </c>
      <c r="C91" s="1">
        <v>6.0</v>
      </c>
      <c r="D91" s="1" t="s">
        <v>416</v>
      </c>
      <c r="E91" s="1" t="s">
        <v>1282</v>
      </c>
      <c r="F91" s="1" t="s">
        <v>417</v>
      </c>
      <c r="G91" s="1" t="s">
        <v>527</v>
      </c>
      <c r="H91" s="1" t="s">
        <v>527</v>
      </c>
      <c r="I91" s="1" t="s">
        <v>21</v>
      </c>
      <c r="J91" s="1" t="s">
        <v>528</v>
      </c>
      <c r="K91">
        <v>-67.683115</v>
      </c>
      <c r="L91">
        <v>-34.974904</v>
      </c>
      <c r="N91" s="1" t="s">
        <v>2543</v>
      </c>
      <c r="O91">
        <f t="shared" si="1"/>
        <v>-34.974904</v>
      </c>
      <c r="P91">
        <f>IFERROR(__xludf.DUMMYFUNCTION("""COMPUTED_VALUE"""),-67.683115)</f>
        <v>-67.683115</v>
      </c>
      <c r="Q91" t="str">
        <f>IFERROR(__xludf.DUMMYFUNCTION("""COMPUTED_VALUE"""),"España 1194, Mendoza , Argentina")</f>
        <v>España 1194, Mendoza , Argentina</v>
      </c>
      <c r="R91" t="str">
        <f>IFERROR(__xludf.DUMMYFUNCTION("""COMPUTED_VALUE"""),"España, General Alvear, Distrito Ciudad de General Alvear, Mendoza, AR")</f>
        <v>España, General Alvear, Distrito Ciudad de General Alvear, Mendoza, AR</v>
      </c>
    </row>
    <row r="92">
      <c r="A92" s="1">
        <v>1296.0</v>
      </c>
      <c r="B92" s="1" t="s">
        <v>248</v>
      </c>
      <c r="C92" s="1">
        <v>8.0</v>
      </c>
      <c r="D92" s="1" t="s">
        <v>530</v>
      </c>
      <c r="E92" s="1" t="s">
        <v>1282</v>
      </c>
      <c r="F92" s="1" t="s">
        <v>417</v>
      </c>
      <c r="G92" s="1" t="s">
        <v>532</v>
      </c>
      <c r="H92" s="1" t="s">
        <v>532</v>
      </c>
      <c r="I92" s="1" t="s">
        <v>21</v>
      </c>
      <c r="J92" s="1" t="s">
        <v>534</v>
      </c>
      <c r="K92">
        <v>-67.683115</v>
      </c>
      <c r="L92">
        <v>-34.974904</v>
      </c>
      <c r="N92" s="1" t="s">
        <v>2560</v>
      </c>
      <c r="O92">
        <f t="shared" si="1"/>
        <v>-34.974904</v>
      </c>
      <c r="P92">
        <f>IFERROR(__xludf.DUMMYFUNCTION("""COMPUTED_VALUE"""),-67.683115)</f>
        <v>-67.683115</v>
      </c>
      <c r="Q92" t="str">
        <f>IFERROR(__xludf.DUMMYFUNCTION("""COMPUTED_VALUE"""),"España 906, Mendoza , Argentina")</f>
        <v>España 906, Mendoza , Argentina</v>
      </c>
      <c r="R92" t="str">
        <f>IFERROR(__xludf.DUMMYFUNCTION("""COMPUTED_VALUE"""),"España, General Alvear, Distrito Ciudad de General Alvear, Mendoza, AR")</f>
        <v>España, General Alvear, Distrito Ciudad de General Alvear, Mendoza, AR</v>
      </c>
    </row>
    <row r="93">
      <c r="A93" s="1">
        <v>1289.0</v>
      </c>
      <c r="B93" s="1" t="s">
        <v>248</v>
      </c>
      <c r="C93" s="1">
        <v>8.0</v>
      </c>
      <c r="D93" s="1" t="s">
        <v>535</v>
      </c>
      <c r="E93" s="1" t="s">
        <v>1282</v>
      </c>
      <c r="F93" s="1" t="s">
        <v>417</v>
      </c>
      <c r="G93" s="1" t="s">
        <v>537</v>
      </c>
      <c r="H93" s="1" t="s">
        <v>537</v>
      </c>
      <c r="I93" s="1" t="s">
        <v>21</v>
      </c>
      <c r="J93" s="1" t="s">
        <v>539</v>
      </c>
      <c r="K93">
        <v>-67.683115</v>
      </c>
      <c r="L93">
        <v>-34.974904</v>
      </c>
      <c r="N93" s="1" t="s">
        <v>2586</v>
      </c>
      <c r="O93">
        <f t="shared" si="1"/>
        <v>-34.974904</v>
      </c>
      <c r="P93">
        <f>IFERROR(__xludf.DUMMYFUNCTION("""COMPUTED_VALUE"""),-67.683115)</f>
        <v>-67.683115</v>
      </c>
      <c r="Q93" t="str">
        <f>IFERROR(__xludf.DUMMYFUNCTION("""COMPUTED_VALUE"""),"España 986, Mendoza , Argentina")</f>
        <v>España 986, Mendoza , Argentina</v>
      </c>
      <c r="R93" t="str">
        <f>IFERROR(__xludf.DUMMYFUNCTION("""COMPUTED_VALUE"""),"España, General Alvear, Distrito Ciudad de General Alvear, Mendoza, AR")</f>
        <v>España, General Alvear, Distrito Ciudad de General Alvear, Mendoza, AR</v>
      </c>
    </row>
    <row r="94">
      <c r="A94" s="1">
        <v>1303.0</v>
      </c>
      <c r="B94" s="1" t="s">
        <v>248</v>
      </c>
      <c r="C94" s="1">
        <v>9.0</v>
      </c>
      <c r="D94" s="1" t="s">
        <v>541</v>
      </c>
      <c r="E94" s="1" t="s">
        <v>1282</v>
      </c>
      <c r="F94" s="1" t="s">
        <v>417</v>
      </c>
      <c r="G94" s="1" t="s">
        <v>542</v>
      </c>
      <c r="H94" s="1" t="s">
        <v>544</v>
      </c>
      <c r="I94" s="1" t="s">
        <v>21</v>
      </c>
      <c r="J94" s="1" t="s">
        <v>545</v>
      </c>
      <c r="K94">
        <v>-67.683115</v>
      </c>
      <c r="L94">
        <v>-34.974904</v>
      </c>
      <c r="N94" s="1" t="s">
        <v>2604</v>
      </c>
      <c r="O94">
        <f t="shared" si="1"/>
        <v>-34.974904</v>
      </c>
      <c r="P94">
        <f>IFERROR(__xludf.DUMMYFUNCTION("""COMPUTED_VALUE"""),-67.683115)</f>
        <v>-67.683115</v>
      </c>
      <c r="Q94" t="str">
        <f>IFERROR(__xludf.DUMMYFUNCTION("""COMPUTED_VALUE"""),"España 985, Mendoza , Argentina")</f>
        <v>España 985, Mendoza , Argentina</v>
      </c>
      <c r="R94" t="str">
        <f>IFERROR(__xludf.DUMMYFUNCTION("""COMPUTED_VALUE"""),"España, General Alvear, Distrito Ciudad de General Alvear, Mendoza, AR")</f>
        <v>España, General Alvear, Distrito Ciudad de General Alvear, Mendoza, AR</v>
      </c>
    </row>
    <row r="95">
      <c r="A95" s="1">
        <v>1329.0</v>
      </c>
      <c r="B95" s="1" t="s">
        <v>248</v>
      </c>
      <c r="C95" s="1">
        <v>14.0</v>
      </c>
      <c r="D95" s="1" t="s">
        <v>548</v>
      </c>
      <c r="E95" s="1" t="s">
        <v>1282</v>
      </c>
      <c r="F95" s="1" t="s">
        <v>417</v>
      </c>
      <c r="G95" s="1" t="s">
        <v>549</v>
      </c>
      <c r="H95" s="1" t="s">
        <v>550</v>
      </c>
      <c r="I95" s="1" t="s">
        <v>21</v>
      </c>
      <c r="J95" s="1" t="s">
        <v>552</v>
      </c>
      <c r="K95">
        <v>-67.683115</v>
      </c>
      <c r="L95">
        <v>-34.974904</v>
      </c>
      <c r="N95" s="1" t="s">
        <v>2624</v>
      </c>
      <c r="O95">
        <f t="shared" si="1"/>
        <v>-34.974904</v>
      </c>
      <c r="P95">
        <f>IFERROR(__xludf.DUMMYFUNCTION("""COMPUTED_VALUE"""),-67.683115)</f>
        <v>-67.683115</v>
      </c>
      <c r="Q95" t="str">
        <f>IFERROR(__xludf.DUMMYFUNCTION("""COMPUTED_VALUE"""),"España 1489, Mendoza , Argentina")</f>
        <v>España 1489, Mendoza , Argentina</v>
      </c>
      <c r="R95" t="str">
        <f>IFERROR(__xludf.DUMMYFUNCTION("""COMPUTED_VALUE"""),"España, General Alvear, Distrito Ciudad de General Alvear, Mendoza, AR")</f>
        <v>España, General Alvear, Distrito Ciudad de General Alvear, Mendoza, AR</v>
      </c>
    </row>
    <row r="96">
      <c r="A96" s="1">
        <v>1588.0</v>
      </c>
      <c r="D96" s="1" t="s">
        <v>554</v>
      </c>
      <c r="E96" s="1" t="s">
        <v>1282</v>
      </c>
      <c r="F96" s="1" t="s">
        <v>417</v>
      </c>
      <c r="G96" s="1" t="s">
        <v>555</v>
      </c>
      <c r="I96" s="1" t="s">
        <v>21</v>
      </c>
      <c r="J96" s="1" t="s">
        <v>556</v>
      </c>
      <c r="K96">
        <v>-100.445882</v>
      </c>
      <c r="L96">
        <v>39.78373</v>
      </c>
      <c r="N96" s="1" t="s">
        <v>2649</v>
      </c>
      <c r="O96">
        <f t="shared" si="1"/>
        <v>39.78373</v>
      </c>
      <c r="P96">
        <f>IFERROR(__xludf.DUMMYFUNCTION("""COMPUTED_VALUE"""),-100.445882)</f>
        <v>-100.445882</v>
      </c>
      <c r="Q96" t="str">
        <f>IFERROR(__xludf.DUMMYFUNCTION("""COMPUTED_VALUE"""),"San Martín 1136 local 5, Mendoza , Argentina")</f>
        <v>San Martín 1136 local 5, Mendoza , Argentina</v>
      </c>
      <c r="R96" t="str">
        <f>IFERROR(__xludf.DUMMYFUNCTION("""COMPUTED_VALUE"""),"US")</f>
        <v>US</v>
      </c>
    </row>
    <row r="97">
      <c r="A97" s="1">
        <v>1662.0</v>
      </c>
      <c r="D97" s="1" t="s">
        <v>559</v>
      </c>
      <c r="E97" s="1" t="s">
        <v>1282</v>
      </c>
      <c r="F97" s="1" t="s">
        <v>417</v>
      </c>
      <c r="G97" s="1" t="s">
        <v>561</v>
      </c>
      <c r="I97" s="1" t="s">
        <v>21</v>
      </c>
      <c r="J97" s="1" t="s">
        <v>562</v>
      </c>
      <c r="K97">
        <v>-100.445882</v>
      </c>
      <c r="L97">
        <v>39.78373</v>
      </c>
      <c r="N97" s="1" t="s">
        <v>2664</v>
      </c>
      <c r="O97">
        <f t="shared" si="1"/>
        <v>39.78373</v>
      </c>
      <c r="P97">
        <f>IFERROR(__xludf.DUMMYFUNCTION("""COMPUTED_VALUE"""),-100.445882)</f>
        <v>-100.445882</v>
      </c>
      <c r="Q97" t="str">
        <f>IFERROR(__xludf.DUMMYFUNCTION("""COMPUTED_VALUE"""),"Av, Las Heras 430 local 16, Mendoza , Argentina")</f>
        <v>Av, Las Heras 430 local 16, Mendoza , Argentina</v>
      </c>
      <c r="R97" t="str">
        <f>IFERROR(__xludf.DUMMYFUNCTION("""COMPUTED_VALUE"""),"US")</f>
        <v>US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O1" s="1" t="s">
        <v>1278</v>
      </c>
    </row>
    <row r="2">
      <c r="A2" s="1">
        <v>40.0</v>
      </c>
      <c r="B2" s="1" t="s">
        <v>12</v>
      </c>
      <c r="C2" s="1">
        <v>8.0</v>
      </c>
      <c r="D2" s="1" t="s">
        <v>2116</v>
      </c>
      <c r="E2" s="1" t="s">
        <v>2117</v>
      </c>
      <c r="F2" s="1" t="s">
        <v>2118</v>
      </c>
      <c r="G2" s="1" t="s">
        <v>2119</v>
      </c>
      <c r="H2" s="1" t="s">
        <v>2119</v>
      </c>
      <c r="I2" s="1" t="s">
        <v>21</v>
      </c>
      <c r="J2" s="1" t="s">
        <v>2120</v>
      </c>
      <c r="K2">
        <v>-100.445882</v>
      </c>
      <c r="L2">
        <v>39.78373</v>
      </c>
      <c r="O2" s="1" t="s">
        <v>2123</v>
      </c>
      <c r="P2">
        <f t="shared" ref="P2:P47" si="1">IFERROR(__xludf.DUMMYFUNCTION("SPLIT(O2,"";"")"),39.78373)</f>
        <v>39.78373</v>
      </c>
      <c r="Q2">
        <f>IFERROR(__xludf.DUMMYFUNCTION("""COMPUTED_VALUE"""),-100.445882)</f>
        <v>-100.445882</v>
      </c>
      <c r="R2" t="str">
        <f>IFERROR(__xludf.DUMMYFUNCTION("""COMPUTED_VALUE"""),"Juan B, Justo y Boulogne Sur Mer , Mendoza , Argentina")</f>
        <v>Juan B, Justo y Boulogne Sur Mer , Mendoza , Argentina</v>
      </c>
      <c r="S2" t="str">
        <f>IFERROR(__xludf.DUMMYFUNCTION("""COMPUTED_VALUE"""),"US")</f>
        <v>US</v>
      </c>
    </row>
    <row r="3">
      <c r="A3" s="1">
        <v>73.0</v>
      </c>
      <c r="B3" s="1" t="s">
        <v>12</v>
      </c>
      <c r="C3" s="1">
        <v>14.0</v>
      </c>
      <c r="D3" s="1" t="s">
        <v>2148</v>
      </c>
      <c r="E3" s="1" t="s">
        <v>2117</v>
      </c>
      <c r="F3" s="1" t="s">
        <v>2118</v>
      </c>
      <c r="G3" s="1" t="s">
        <v>2149</v>
      </c>
      <c r="H3" s="1" t="s">
        <v>2149</v>
      </c>
      <c r="I3" s="1" t="s">
        <v>21</v>
      </c>
      <c r="J3" s="1" t="s">
        <v>2150</v>
      </c>
      <c r="K3">
        <v>-68.847307</v>
      </c>
      <c r="L3">
        <v>-32.906863</v>
      </c>
      <c r="O3" s="1" t="s">
        <v>2151</v>
      </c>
      <c r="P3">
        <f t="shared" si="1"/>
        <v>-32.906863</v>
      </c>
      <c r="Q3">
        <f>IFERROR(__xludf.DUMMYFUNCTION("""COMPUTED_VALUE"""),-68.847307)</f>
        <v>-68.847307</v>
      </c>
      <c r="R3" t="str">
        <f>IFERROR(__xludf.DUMMYFUNCTION("""COMPUTED_VALUE"""),"Juan B, Justo 264, Mendoza , Argentina")</f>
        <v>Juan B, Justo 264, Mendoza , Argentina</v>
      </c>
      <c r="S3" t="str">
        <f>IFERROR(__xludf.DUMMYFUNCTION("""COMPUTED_VALUE"""),"Juan B, Justo 264, Villa Mercedes, Departamento Godoy Cruz, Mendoza, AR")</f>
        <v>Juan B, Justo 264, Villa Mercedes, Departamento Godoy Cruz, Mendoza, AR</v>
      </c>
    </row>
    <row r="4">
      <c r="A4" s="1">
        <v>483.0</v>
      </c>
      <c r="B4" s="1" t="s">
        <v>109</v>
      </c>
      <c r="C4" s="1">
        <v>1.0</v>
      </c>
      <c r="D4" s="1" t="s">
        <v>2154</v>
      </c>
      <c r="E4" s="1" t="s">
        <v>2117</v>
      </c>
      <c r="F4" s="1" t="s">
        <v>2118</v>
      </c>
      <c r="G4" s="1" t="s">
        <v>2156</v>
      </c>
      <c r="H4" s="1" t="s">
        <v>2156</v>
      </c>
      <c r="I4" s="1" t="s">
        <v>21</v>
      </c>
      <c r="J4" s="1" t="s">
        <v>2158</v>
      </c>
      <c r="K4">
        <v>-68.839717</v>
      </c>
      <c r="L4">
        <v>-32.891999</v>
      </c>
      <c r="O4" s="1" t="s">
        <v>2159</v>
      </c>
      <c r="P4">
        <f t="shared" si="1"/>
        <v>-32.891999</v>
      </c>
      <c r="Q4">
        <f>IFERROR(__xludf.DUMMYFUNCTION("""COMPUTED_VALUE"""),-68.839717)</f>
        <v>-68.839717</v>
      </c>
      <c r="R4" t="str">
        <f>IFERROR(__xludf.DUMMYFUNCTION("""COMPUTED_VALUE"""),"Av, San Martín 985, Mendoza , Argentina")</f>
        <v>Av, San Martín 985, Mendoza , Argentina</v>
      </c>
      <c r="S4" t="str">
        <f>IFERROR(__xludf.DUMMYFUNCTION("""COMPUTED_VALUE"""),"Avenida San Martín 985, Mendoza, Sección 2ª Barrio Cívico, Mendoza, AR")</f>
        <v>Avenida San Martín 985, Mendoza, Sección 2ª Barrio Cívico, Mendoza, AR</v>
      </c>
    </row>
    <row r="5">
      <c r="A5" s="1">
        <v>688.0</v>
      </c>
      <c r="B5" s="1" t="s">
        <v>36</v>
      </c>
      <c r="C5" s="1">
        <v>4.0</v>
      </c>
      <c r="D5" s="1" t="s">
        <v>2172</v>
      </c>
      <c r="E5" s="1" t="s">
        <v>2117</v>
      </c>
      <c r="F5" s="1" t="s">
        <v>2118</v>
      </c>
      <c r="G5" s="1" t="s">
        <v>2173</v>
      </c>
      <c r="H5" s="1" t="s">
        <v>2173</v>
      </c>
      <c r="I5" s="1" t="s">
        <v>21</v>
      </c>
      <c r="J5" s="1" t="s">
        <v>2174</v>
      </c>
      <c r="K5">
        <v>-68.843036</v>
      </c>
      <c r="L5">
        <v>-32.904737</v>
      </c>
      <c r="O5" s="1" t="s">
        <v>2177</v>
      </c>
      <c r="P5">
        <f t="shared" si="1"/>
        <v>-32.904737</v>
      </c>
      <c r="Q5">
        <f>IFERROR(__xludf.DUMMYFUNCTION("""COMPUTED_VALUE"""),-68.843036)</f>
        <v>-68.843036</v>
      </c>
      <c r="R5" t="str">
        <f>IFERROR(__xludf.DUMMYFUNCTION("""COMPUTED_VALUE"""),"Av, San Martín 1993, Mendoza , Argentina")</f>
        <v>Av, San Martín 1993, Mendoza , Argentina</v>
      </c>
      <c r="S5" t="str">
        <f>IFERROR(__xludf.DUMMYFUNCTION("""COMPUTED_VALUE"""),"Avenida San Martín 1993, General Espejo, Departamento Godoy Cruz, Mendoza, AR")</f>
        <v>Avenida San Martín 1993, General Espejo, Departamento Godoy Cruz, Mendoza, AR</v>
      </c>
    </row>
    <row r="6">
      <c r="A6" s="1">
        <v>724.0</v>
      </c>
      <c r="B6" s="1" t="s">
        <v>36</v>
      </c>
      <c r="C6" s="1">
        <v>9.0</v>
      </c>
      <c r="D6" s="1" t="s">
        <v>2185</v>
      </c>
      <c r="E6" s="1" t="s">
        <v>2117</v>
      </c>
      <c r="F6" s="1" t="s">
        <v>2118</v>
      </c>
      <c r="G6" s="1" t="s">
        <v>2187</v>
      </c>
      <c r="H6" s="1" t="s">
        <v>2187</v>
      </c>
      <c r="I6" s="1" t="s">
        <v>21</v>
      </c>
      <c r="J6" s="1" t="s">
        <v>2190</v>
      </c>
      <c r="K6">
        <v>-68.83804</v>
      </c>
      <c r="L6">
        <v>-32.885271</v>
      </c>
      <c r="O6" s="1" t="s">
        <v>2195</v>
      </c>
      <c r="P6">
        <f t="shared" si="1"/>
        <v>-32.885271</v>
      </c>
      <c r="Q6">
        <f>IFERROR(__xludf.DUMMYFUNCTION("""COMPUTED_VALUE"""),-68.83804)</f>
        <v>-68.83804</v>
      </c>
      <c r="R6" t="str">
        <f>IFERROR(__xludf.DUMMYFUNCTION("""COMPUTED_VALUE"""),"Av, San Martín 2360, Mendoza , Argentina")</f>
        <v>Av, San Martín 2360, Mendoza , Argentina</v>
      </c>
      <c r="S6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7">
      <c r="A7" s="1">
        <v>732.0</v>
      </c>
      <c r="B7" s="1" t="s">
        <v>36</v>
      </c>
      <c r="C7" s="1">
        <v>10.0</v>
      </c>
      <c r="D7" s="1" t="s">
        <v>2201</v>
      </c>
      <c r="E7" s="1" t="s">
        <v>2117</v>
      </c>
      <c r="F7" s="1" t="s">
        <v>2118</v>
      </c>
      <c r="G7" s="1" t="s">
        <v>2203</v>
      </c>
      <c r="H7" s="1" t="s">
        <v>2203</v>
      </c>
      <c r="I7" s="1" t="s">
        <v>21</v>
      </c>
      <c r="J7" s="1" t="s">
        <v>2204</v>
      </c>
      <c r="K7">
        <v>-68.83804</v>
      </c>
      <c r="L7">
        <v>-32.885271</v>
      </c>
      <c r="O7" s="1" t="s">
        <v>2205</v>
      </c>
      <c r="P7">
        <f t="shared" si="1"/>
        <v>-32.885271</v>
      </c>
      <c r="Q7">
        <f>IFERROR(__xludf.DUMMYFUNCTION("""COMPUTED_VALUE"""),-68.83804)</f>
        <v>-68.83804</v>
      </c>
      <c r="R7" t="str">
        <f>IFERROR(__xludf.DUMMYFUNCTION("""COMPUTED_VALUE"""),"Av, San Martín 2114, Mendoza , Argentina")</f>
        <v>Av, San Martín 2114, Mendoza , Argentina</v>
      </c>
      <c r="S7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8">
      <c r="A8" s="1">
        <v>733.0</v>
      </c>
      <c r="B8" s="1" t="s">
        <v>36</v>
      </c>
      <c r="C8" s="1">
        <v>10.0</v>
      </c>
      <c r="D8" s="1" t="s">
        <v>2212</v>
      </c>
      <c r="E8" s="1" t="s">
        <v>2117</v>
      </c>
      <c r="F8" s="1" t="s">
        <v>2118</v>
      </c>
      <c r="G8" s="1" t="s">
        <v>2213</v>
      </c>
      <c r="H8" s="1" t="s">
        <v>2213</v>
      </c>
      <c r="I8" s="1" t="s">
        <v>21</v>
      </c>
      <c r="J8" s="1" t="s">
        <v>2216</v>
      </c>
      <c r="K8">
        <v>-68.83804</v>
      </c>
      <c r="L8">
        <v>-32.885271</v>
      </c>
      <c r="O8" s="1" t="s">
        <v>2217</v>
      </c>
      <c r="P8">
        <f t="shared" si="1"/>
        <v>-32.885271</v>
      </c>
      <c r="Q8">
        <f>IFERROR(__xludf.DUMMYFUNCTION("""COMPUTED_VALUE"""),-68.83804)</f>
        <v>-68.83804</v>
      </c>
      <c r="R8" t="str">
        <f>IFERROR(__xludf.DUMMYFUNCTION("""COMPUTED_VALUE"""),"Av, San Martín 2102, Mendoza , Argentina")</f>
        <v>Av, San Martín 2102, Mendoza , Argentina</v>
      </c>
      <c r="S8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9">
      <c r="A9" s="1">
        <v>742.0</v>
      </c>
      <c r="B9" s="1" t="s">
        <v>36</v>
      </c>
      <c r="C9" s="1">
        <v>11.0</v>
      </c>
      <c r="D9" s="1" t="s">
        <v>2230</v>
      </c>
      <c r="E9" s="1" t="s">
        <v>2117</v>
      </c>
      <c r="F9" s="1" t="s">
        <v>2118</v>
      </c>
      <c r="G9" s="1" t="s">
        <v>2231</v>
      </c>
      <c r="H9" s="1" t="s">
        <v>2231</v>
      </c>
      <c r="I9" s="1" t="s">
        <v>21</v>
      </c>
      <c r="J9" s="1" t="s">
        <v>2232</v>
      </c>
      <c r="K9">
        <v>-68.843027</v>
      </c>
      <c r="L9">
        <v>-32.904179</v>
      </c>
      <c r="O9" s="1" t="s">
        <v>2235</v>
      </c>
      <c r="P9">
        <f t="shared" si="1"/>
        <v>-32.904179</v>
      </c>
      <c r="Q9">
        <f>IFERROR(__xludf.DUMMYFUNCTION("""COMPUTED_VALUE"""),-68.843027)</f>
        <v>-68.843027</v>
      </c>
      <c r="R9" t="str">
        <f>IFERROR(__xludf.DUMMYFUNCTION("""COMPUTED_VALUE"""),"Av, San Martín 2086, Mendoza , Argentina")</f>
        <v>Av, San Martín 2086, Mendoza , Argentina</v>
      </c>
      <c r="S9" t="str">
        <f>IFERROR(__xludf.DUMMYFUNCTION("""COMPUTED_VALUE"""),"Avenida San Martín 2086, Ciudad de Mendoza, Sección 2ª Barrio Cívico, Mendoza, AR")</f>
        <v>Avenida San Martín 2086, Ciudad de Mendoza, Sección 2ª Barrio Cívico, Mendoza, AR</v>
      </c>
    </row>
    <row r="10">
      <c r="A10" s="1">
        <v>752.0</v>
      </c>
      <c r="B10" s="1" t="s">
        <v>36</v>
      </c>
      <c r="C10" s="1">
        <v>12.0</v>
      </c>
      <c r="D10" s="1" t="s">
        <v>2241</v>
      </c>
      <c r="E10" s="1" t="s">
        <v>2117</v>
      </c>
      <c r="F10" s="1" t="s">
        <v>2118</v>
      </c>
      <c r="G10" s="1" t="s">
        <v>2242</v>
      </c>
      <c r="H10" s="1" t="s">
        <v>2242</v>
      </c>
      <c r="I10" s="1" t="s">
        <v>21</v>
      </c>
      <c r="J10" s="1" t="s">
        <v>2243</v>
      </c>
      <c r="K10">
        <v>-68.843122</v>
      </c>
      <c r="L10">
        <v>-32.904541</v>
      </c>
      <c r="O10" s="1" t="s">
        <v>2244</v>
      </c>
      <c r="P10">
        <f t="shared" si="1"/>
        <v>-32.904541</v>
      </c>
      <c r="Q10">
        <f>IFERROR(__xludf.DUMMYFUNCTION("""COMPUTED_VALUE"""),-68.843122)</f>
        <v>-68.843122</v>
      </c>
      <c r="R10" t="str">
        <f>IFERROR(__xludf.DUMMYFUNCTION("""COMPUTED_VALUE"""),"Av, San Martín 2006, Mendoza , Argentina")</f>
        <v>Av, San Martín 2006, Mendoza , Argentina</v>
      </c>
      <c r="S10" t="str">
        <f>IFERROR(__xludf.DUMMYFUNCTION("""COMPUTED_VALUE"""),"Avenida San Martín 2006, Ciudad de Mendoza, Sección 2ª Barrio Cívico, Mendoza, AR")</f>
        <v>Avenida San Martín 2006, Ciudad de Mendoza, Sección 2ª Barrio Cívico, Mendoza, AR</v>
      </c>
    </row>
    <row r="11">
      <c r="A11" s="1">
        <v>843.0</v>
      </c>
      <c r="B11" s="1" t="s">
        <v>55</v>
      </c>
      <c r="C11" s="1">
        <v>5.0</v>
      </c>
      <c r="D11" s="1" t="s">
        <v>2257</v>
      </c>
      <c r="E11" s="1" t="s">
        <v>2117</v>
      </c>
      <c r="F11" s="1" t="s">
        <v>2118</v>
      </c>
      <c r="G11" s="1" t="s">
        <v>2259</v>
      </c>
      <c r="H11" s="1" t="s">
        <v>2259</v>
      </c>
      <c r="I11" s="1" t="s">
        <v>21</v>
      </c>
      <c r="J11" s="1" t="s">
        <v>2262</v>
      </c>
      <c r="K11">
        <v>-68.844661</v>
      </c>
      <c r="L11">
        <v>-32.885196</v>
      </c>
      <c r="O11" s="1" t="s">
        <v>2263</v>
      </c>
      <c r="P11">
        <f t="shared" si="1"/>
        <v>-32.885196</v>
      </c>
      <c r="Q11">
        <f>IFERROR(__xludf.DUMMYFUNCTION("""COMPUTED_VALUE"""),-68.844661)</f>
        <v>-68.844661</v>
      </c>
      <c r="R11" t="str">
        <f>IFERROR(__xludf.DUMMYFUNCTION("""COMPUTED_VALUE"""),"Av, Las Heras 403, Mendoza , Argentina")</f>
        <v>Av, Las Heras 403, Mendoza , Argentina</v>
      </c>
      <c r="S11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12">
      <c r="A12" s="1">
        <v>1004.0</v>
      </c>
      <c r="B12" s="1" t="s">
        <v>62</v>
      </c>
      <c r="C12" s="1">
        <v>5.0</v>
      </c>
      <c r="D12" s="1" t="s">
        <v>2273</v>
      </c>
      <c r="E12" s="1" t="s">
        <v>2117</v>
      </c>
      <c r="F12" s="1" t="s">
        <v>2118</v>
      </c>
      <c r="G12" s="1" t="s">
        <v>2274</v>
      </c>
      <c r="H12" s="1" t="s">
        <v>2274</v>
      </c>
      <c r="I12" s="1" t="s">
        <v>21</v>
      </c>
      <c r="J12" s="1" t="s">
        <v>2275</v>
      </c>
      <c r="K12">
        <v>-68.845681</v>
      </c>
      <c r="L12">
        <v>-32.894025</v>
      </c>
      <c r="O12" s="1" t="s">
        <v>2276</v>
      </c>
      <c r="P12">
        <f t="shared" si="1"/>
        <v>-32.894025</v>
      </c>
      <c r="Q12">
        <f>IFERROR(__xludf.DUMMYFUNCTION("""COMPUTED_VALUE"""),-68.845681)</f>
        <v>-68.845681</v>
      </c>
      <c r="R12" t="str">
        <f>IFERROR(__xludf.DUMMYFUNCTION("""COMPUTED_VALUE"""),"Av, Colón 451, Mendoza , Argentina")</f>
        <v>Av, Colón 451, Mendoza , Argentina</v>
      </c>
      <c r="S1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3">
      <c r="A13" s="1">
        <v>1036.0</v>
      </c>
      <c r="B13" s="1" t="s">
        <v>62</v>
      </c>
      <c r="C13" s="1">
        <v>10.0</v>
      </c>
      <c r="D13" s="1" t="s">
        <v>2280</v>
      </c>
      <c r="E13" s="1" t="s">
        <v>2117</v>
      </c>
      <c r="F13" s="1" t="s">
        <v>2118</v>
      </c>
      <c r="G13" s="1" t="s">
        <v>2132</v>
      </c>
      <c r="H13" s="1" t="s">
        <v>2132</v>
      </c>
      <c r="I13" s="1" t="s">
        <v>21</v>
      </c>
      <c r="J13" s="1" t="s">
        <v>2282</v>
      </c>
      <c r="K13">
        <v>-68.849019</v>
      </c>
      <c r="L13">
        <v>-32.893474</v>
      </c>
      <c r="O13" s="1" t="s">
        <v>2284</v>
      </c>
      <c r="P13">
        <f t="shared" si="1"/>
        <v>-32.893474</v>
      </c>
      <c r="Q13">
        <f>IFERROR(__xludf.DUMMYFUNCTION("""COMPUTED_VALUE"""),-68.849019)</f>
        <v>-68.849019</v>
      </c>
      <c r="R13" t="str">
        <f>IFERROR(__xludf.DUMMYFUNCTION("""COMPUTED_VALUE"""),"Av, Colón 670, Mendoza , Argentina")</f>
        <v>Av, Colón 670, Mendoza , Argentina</v>
      </c>
      <c r="S13" t="str">
        <f>IFERROR(__xludf.DUMMYFUNCTION("""COMPUTED_VALUE"""),"Avenida Colón 670, Ciudad de Mendoza, Sección 2ª Barrio Cívico, Mendoza, AR")</f>
        <v>Avenida Colón 670, Ciudad de Mendoza, Sección 2ª Barrio Cívico, Mendoza, AR</v>
      </c>
    </row>
    <row r="14">
      <c r="A14" s="1">
        <v>1056.0</v>
      </c>
      <c r="B14" s="1" t="s">
        <v>62</v>
      </c>
      <c r="C14" s="1">
        <v>12.0</v>
      </c>
      <c r="D14" s="1" t="s">
        <v>2291</v>
      </c>
      <c r="E14" s="1" t="s">
        <v>2117</v>
      </c>
      <c r="F14" s="1" t="s">
        <v>2118</v>
      </c>
      <c r="G14" s="1" t="s">
        <v>2292</v>
      </c>
      <c r="H14" s="1" t="s">
        <v>2292</v>
      </c>
      <c r="I14" s="1" t="s">
        <v>21</v>
      </c>
      <c r="J14" s="1" t="s">
        <v>2294</v>
      </c>
      <c r="K14">
        <v>-68.846778</v>
      </c>
      <c r="L14">
        <v>-32.89392</v>
      </c>
      <c r="O14" s="1" t="s">
        <v>2297</v>
      </c>
      <c r="P14">
        <f t="shared" si="1"/>
        <v>-32.89392</v>
      </c>
      <c r="Q14">
        <f>IFERROR(__xludf.DUMMYFUNCTION("""COMPUTED_VALUE"""),-68.846778)</f>
        <v>-68.846778</v>
      </c>
      <c r="R14" t="str">
        <f>IFERROR(__xludf.DUMMYFUNCTION("""COMPUTED_VALUE"""),"Av, Colón 480, Mendoza , Argentina")</f>
        <v>Av, Colón 480, Mendoza , Argentina</v>
      </c>
      <c r="S14" t="str">
        <f>IFERROR(__xludf.DUMMYFUNCTION("""COMPUTED_VALUE"""),"Avenida Colón 480, Ciudad de Mendoza, Sección 2ª Barrio Cívico, Mendoza, AR")</f>
        <v>Avenida Colón 480, Ciudad de Mendoza, Sección 2ª Barrio Cívico, Mendoza, AR</v>
      </c>
    </row>
    <row r="15">
      <c r="A15" s="1">
        <v>1096.0</v>
      </c>
      <c r="B15" s="1" t="s">
        <v>62</v>
      </c>
      <c r="C15" s="1">
        <v>15.0</v>
      </c>
      <c r="D15" s="1" t="s">
        <v>2301</v>
      </c>
      <c r="E15" s="1" t="s">
        <v>2117</v>
      </c>
      <c r="F15" s="1" t="s">
        <v>2118</v>
      </c>
      <c r="G15" s="1" t="s">
        <v>2303</v>
      </c>
      <c r="H15" s="1" t="s">
        <v>2303</v>
      </c>
      <c r="I15" s="1" t="s">
        <v>21</v>
      </c>
      <c r="J15" s="1" t="s">
        <v>2304</v>
      </c>
      <c r="K15">
        <v>-68.845681</v>
      </c>
      <c r="L15">
        <v>-32.894025</v>
      </c>
      <c r="O15" s="1" t="s">
        <v>2307</v>
      </c>
      <c r="P15">
        <f t="shared" si="1"/>
        <v>-32.894025</v>
      </c>
      <c r="Q15">
        <f>IFERROR(__xludf.DUMMYFUNCTION("""COMPUTED_VALUE"""),-68.845681)</f>
        <v>-68.845681</v>
      </c>
      <c r="R15" t="str">
        <f>IFERROR(__xludf.DUMMYFUNCTION("""COMPUTED_VALUE"""),"Av, Colón 196, Mendoza , Argentina")</f>
        <v>Av, Colón 196, Mendoza , Argentina</v>
      </c>
      <c r="S15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6">
      <c r="A16" s="1">
        <v>1214.0</v>
      </c>
      <c r="B16" s="1" t="s">
        <v>227</v>
      </c>
      <c r="C16" s="1">
        <v>5.0</v>
      </c>
      <c r="D16" s="1" t="s">
        <v>2317</v>
      </c>
      <c r="E16" s="1" t="s">
        <v>2117</v>
      </c>
      <c r="F16" s="1" t="s">
        <v>2118</v>
      </c>
      <c r="G16" s="1" t="s">
        <v>2318</v>
      </c>
      <c r="H16" s="1" t="s">
        <v>2318</v>
      </c>
      <c r="I16" s="1" t="s">
        <v>21</v>
      </c>
      <c r="J16" s="1" t="s">
        <v>2320</v>
      </c>
      <c r="K16">
        <v>-67.688023</v>
      </c>
      <c r="L16">
        <v>-34.979176</v>
      </c>
      <c r="O16" s="1" t="s">
        <v>2322</v>
      </c>
      <c r="P16">
        <f t="shared" si="1"/>
        <v>-34.979176</v>
      </c>
      <c r="Q16">
        <f>IFERROR(__xludf.DUMMYFUNCTION("""COMPUTED_VALUE"""),-67.688023)</f>
        <v>-67.688023</v>
      </c>
      <c r="R16" t="str">
        <f>IFERROR(__xludf.DUMMYFUNCTION("""COMPUTED_VALUE"""),"Godoy Cruz 413, Mendoza , Argentina")</f>
        <v>Godoy Cruz 413, Mendoza , Argentina</v>
      </c>
      <c r="S16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7">
      <c r="A17" s="1">
        <v>12.0</v>
      </c>
      <c r="B17" s="1" t="s">
        <v>12</v>
      </c>
      <c r="C17" s="1">
        <v>3.0</v>
      </c>
      <c r="D17" s="1" t="s">
        <v>2319</v>
      </c>
      <c r="E17" s="1" t="s">
        <v>2117</v>
      </c>
      <c r="F17" s="1" t="s">
        <v>2330</v>
      </c>
      <c r="G17" s="1" t="s">
        <v>2331</v>
      </c>
      <c r="H17" s="1" t="s">
        <v>2331</v>
      </c>
      <c r="I17" s="1" t="s">
        <v>21</v>
      </c>
      <c r="J17" s="1" t="s">
        <v>2333</v>
      </c>
      <c r="K17">
        <v>-68.846862</v>
      </c>
      <c r="L17">
        <v>-32.906779</v>
      </c>
      <c r="O17" s="1" t="s">
        <v>2334</v>
      </c>
      <c r="P17">
        <f t="shared" si="1"/>
        <v>-32.906779</v>
      </c>
      <c r="Q17">
        <f>IFERROR(__xludf.DUMMYFUNCTION("""COMPUTED_VALUE"""),-68.846862)</f>
        <v>-68.846862</v>
      </c>
      <c r="R17" t="str">
        <f>IFERROR(__xludf.DUMMYFUNCTION("""COMPUTED_VALUE"""),"Juan B, Justo 237, Mendoza , Argentina")</f>
        <v>Juan B, Justo 237, Mendoza , Argentina</v>
      </c>
      <c r="S17" t="str">
        <f>IFERROR(__xludf.DUMMYFUNCTION("""COMPUTED_VALUE"""),"Juan B, Justo 237, Villa Mercedes, Departamento Godoy Cruz, Mendoza, AR")</f>
        <v>Juan B, Justo 237, Villa Mercedes, Departamento Godoy Cruz, Mendoza, AR</v>
      </c>
    </row>
    <row r="18">
      <c r="A18" s="1">
        <v>76.0</v>
      </c>
      <c r="B18" s="1" t="s">
        <v>12</v>
      </c>
      <c r="C18" s="1">
        <v>15.0</v>
      </c>
      <c r="D18" s="1" t="s">
        <v>2340</v>
      </c>
      <c r="E18" s="1" t="s">
        <v>2117</v>
      </c>
      <c r="F18" s="1" t="s">
        <v>2330</v>
      </c>
      <c r="G18" s="1" t="s">
        <v>2343</v>
      </c>
      <c r="H18" s="1" t="s">
        <v>2343</v>
      </c>
      <c r="I18" s="1" t="s">
        <v>21</v>
      </c>
      <c r="J18" s="1" t="s">
        <v>2345</v>
      </c>
      <c r="K18">
        <v>-68.845599</v>
      </c>
      <c r="L18">
        <v>-32.90706</v>
      </c>
      <c r="O18" s="1" t="s">
        <v>2347</v>
      </c>
      <c r="P18">
        <f t="shared" si="1"/>
        <v>-32.90706</v>
      </c>
      <c r="Q18">
        <f>IFERROR(__xludf.DUMMYFUNCTION("""COMPUTED_VALUE"""),-68.845599)</f>
        <v>-68.845599</v>
      </c>
      <c r="R18" t="str">
        <f>IFERROR(__xludf.DUMMYFUNCTION("""COMPUTED_VALUE"""),"Juan B, Justo 130, Mendoza , Argentina")</f>
        <v>Juan B, Justo 130, Mendoza , Argentina</v>
      </c>
      <c r="S18" t="str">
        <f>IFERROR(__xludf.DUMMYFUNCTION("""COMPUTED_VALUE"""),"Juan B, Justo 130, Villa Mercedes, Departamento Godoy Cruz, Mendoza, AR")</f>
        <v>Juan B, Justo 130, Villa Mercedes, Departamento Godoy Cruz, Mendoza, AR</v>
      </c>
    </row>
    <row r="19">
      <c r="A19" s="1">
        <v>84.0</v>
      </c>
      <c r="B19" s="1" t="s">
        <v>12</v>
      </c>
      <c r="C19" s="1">
        <v>16.0</v>
      </c>
      <c r="D19" s="1" t="s">
        <v>2319</v>
      </c>
      <c r="E19" s="1" t="s">
        <v>2117</v>
      </c>
      <c r="F19" s="1" t="s">
        <v>2330</v>
      </c>
      <c r="G19" s="1" t="s">
        <v>2360</v>
      </c>
      <c r="H19" s="1" t="s">
        <v>2360</v>
      </c>
      <c r="I19" s="1" t="s">
        <v>21</v>
      </c>
      <c r="J19" s="1" t="s">
        <v>2361</v>
      </c>
      <c r="K19">
        <v>-68.844289</v>
      </c>
      <c r="L19">
        <v>-32.907226</v>
      </c>
      <c r="O19" s="1" t="s">
        <v>2362</v>
      </c>
      <c r="P19">
        <f t="shared" si="1"/>
        <v>-32.907226</v>
      </c>
      <c r="Q19">
        <f>IFERROR(__xludf.DUMMYFUNCTION("""COMPUTED_VALUE"""),-68.844289)</f>
        <v>-68.844289</v>
      </c>
      <c r="R19" t="str">
        <f>IFERROR(__xludf.DUMMYFUNCTION("""COMPUTED_VALUE"""),"Juan B, Justo 32, Mendoza , Argentina")</f>
        <v>Juan B, Justo 32, Mendoza , Argentina</v>
      </c>
      <c r="S19" t="str">
        <f>IFERROR(__xludf.DUMMYFUNCTION("""COMPUTED_VALUE"""),"Juan B, Justo 32, Villa Mercedes, Departamento Godoy Cruz, Mendoza, AR")</f>
        <v>Juan B, Justo 32, Villa Mercedes, Departamento Godoy Cruz, Mendoza, AR</v>
      </c>
    </row>
    <row r="20">
      <c r="A20" s="1">
        <v>91.0</v>
      </c>
      <c r="B20" s="1" t="s">
        <v>29</v>
      </c>
      <c r="C20" s="1">
        <v>1.0</v>
      </c>
      <c r="D20" s="1" t="s">
        <v>2319</v>
      </c>
      <c r="E20" s="1" t="s">
        <v>2117</v>
      </c>
      <c r="F20" s="1" t="s">
        <v>2330</v>
      </c>
      <c r="G20" s="3" t="s">
        <v>2368</v>
      </c>
      <c r="H20" s="1" t="s">
        <v>2369</v>
      </c>
      <c r="I20" s="1" t="s">
        <v>21</v>
      </c>
      <c r="J20" s="1" t="s">
        <v>2370</v>
      </c>
      <c r="K20">
        <v>-67.68561</v>
      </c>
      <c r="L20">
        <v>-34.972739</v>
      </c>
      <c r="O20" s="1" t="s">
        <v>2371</v>
      </c>
      <c r="P20">
        <f t="shared" si="1"/>
        <v>-34.972739</v>
      </c>
      <c r="Q20">
        <f>IFERROR(__xludf.DUMMYFUNCTION("""COMPUTED_VALUE"""),-67.68561)</f>
        <v>-67.68561</v>
      </c>
      <c r="R20" t="str">
        <f>IFERROR(__xludf.DUMMYFUNCTION("""COMPUTED_VALUE"""),"9 de Julio 1664, Mendoza , Argentina")</f>
        <v>9 de Julio 1664, Mendoza , Argentina</v>
      </c>
      <c r="S20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1">
      <c r="A21" s="1">
        <v>153.0</v>
      </c>
      <c r="B21" s="1" t="s">
        <v>29</v>
      </c>
      <c r="C21" s="1">
        <v>7.0</v>
      </c>
      <c r="D21" s="1" t="s">
        <v>2319</v>
      </c>
      <c r="E21" s="1" t="s">
        <v>2117</v>
      </c>
      <c r="F21" s="1" t="s">
        <v>2330</v>
      </c>
      <c r="G21" s="3" t="s">
        <v>2323</v>
      </c>
      <c r="H21" s="3" t="s">
        <v>2323</v>
      </c>
      <c r="I21" s="1" t="s">
        <v>21</v>
      </c>
      <c r="J21" s="1" t="s">
        <v>2380</v>
      </c>
      <c r="K21">
        <v>-67.68561</v>
      </c>
      <c r="L21">
        <v>-34.972739</v>
      </c>
      <c r="O21" s="1" t="s">
        <v>2382</v>
      </c>
      <c r="P21">
        <f t="shared" si="1"/>
        <v>-34.972739</v>
      </c>
      <c r="Q21">
        <f>IFERROR(__xludf.DUMMYFUNCTION("""COMPUTED_VALUE"""),-67.68561)</f>
        <v>-67.68561</v>
      </c>
      <c r="R21" t="str">
        <f>IFERROR(__xludf.DUMMYFUNCTION("""COMPUTED_VALUE"""),"9 de Julio 1052, Mendoza , Argentina")</f>
        <v>9 de Julio 1052, Mendoza , Argentina</v>
      </c>
      <c r="S21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2">
      <c r="A22" s="1">
        <v>262.0</v>
      </c>
      <c r="B22" s="1" t="s">
        <v>29</v>
      </c>
      <c r="C22" s="1">
        <v>16.0</v>
      </c>
      <c r="D22" s="1" t="s">
        <v>2396</v>
      </c>
      <c r="E22" s="1" t="s">
        <v>2117</v>
      </c>
      <c r="F22" s="1" t="s">
        <v>2330</v>
      </c>
      <c r="G22" s="3" t="s">
        <v>2397</v>
      </c>
      <c r="H22" s="3" t="s">
        <v>2397</v>
      </c>
      <c r="I22" s="1" t="s">
        <v>21</v>
      </c>
      <c r="J22" s="1" t="s">
        <v>2399</v>
      </c>
      <c r="K22">
        <v>-67.68561</v>
      </c>
      <c r="L22">
        <v>-34.972739</v>
      </c>
      <c r="O22" s="1" t="s">
        <v>2401</v>
      </c>
      <c r="P22">
        <f t="shared" si="1"/>
        <v>-34.972739</v>
      </c>
      <c r="Q22">
        <f>IFERROR(__xludf.DUMMYFUNCTION("""COMPUTED_VALUE"""),-67.68561)</f>
        <v>-67.68561</v>
      </c>
      <c r="R22" t="str">
        <f>IFERROR(__xludf.DUMMYFUNCTION("""COMPUTED_VALUE"""),"9 de Julio 1693, Mendoza , Argentina")</f>
        <v>9 de Julio 1693, Mendoza , Argentina</v>
      </c>
      <c r="S22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3">
      <c r="A23" s="1">
        <v>446.0</v>
      </c>
      <c r="B23" s="1" t="s">
        <v>24</v>
      </c>
      <c r="C23" s="1">
        <v>11.0</v>
      </c>
      <c r="D23" s="1" t="s">
        <v>2407</v>
      </c>
      <c r="E23" s="1" t="s">
        <v>2117</v>
      </c>
      <c r="F23" s="1" t="s">
        <v>2330</v>
      </c>
      <c r="G23" s="1" t="s">
        <v>2409</v>
      </c>
      <c r="H23" s="1" t="s">
        <v>2409</v>
      </c>
      <c r="I23" s="1" t="s">
        <v>21</v>
      </c>
      <c r="J23" s="1" t="s">
        <v>2411</v>
      </c>
      <c r="K23">
        <v>-68.85618</v>
      </c>
      <c r="L23">
        <v>-32.892167</v>
      </c>
      <c r="O23" s="1" t="s">
        <v>2413</v>
      </c>
      <c r="P23">
        <f t="shared" si="1"/>
        <v>-32.892167</v>
      </c>
      <c r="Q23">
        <f>IFERROR(__xludf.DUMMYFUNCTION("""COMPUTED_VALUE"""),-68.85618)</f>
        <v>-68.85618</v>
      </c>
      <c r="R23" t="str">
        <f>IFERROR(__xludf.DUMMYFUNCTION("""COMPUTED_VALUE"""),"Arístides Villanueva 376, Mendoza , Argentina")</f>
        <v>Arístides Villanueva 376, Mendoza , Argentina</v>
      </c>
      <c r="S23" t="str">
        <f>IFERROR(__xludf.DUMMYFUNCTION("""COMPUTED_VALUE"""),"Arístides Villanueva 376, Ciudad de Mendoza, Sección 5ª Residencial Sur, Mendoza, AR")</f>
        <v>Arístides Villanueva 376, Ciudad de Mendoza, Sección 5ª Residencial Sur, Mendoza, AR</v>
      </c>
    </row>
    <row r="24">
      <c r="A24" s="1">
        <v>657.0</v>
      </c>
      <c r="B24" s="1" t="s">
        <v>109</v>
      </c>
      <c r="C24" s="1">
        <v>15.0</v>
      </c>
      <c r="D24" s="1" t="s">
        <v>2419</v>
      </c>
      <c r="E24" s="1" t="s">
        <v>2117</v>
      </c>
      <c r="F24" s="1" t="s">
        <v>2330</v>
      </c>
      <c r="G24" s="1" t="s">
        <v>2421</v>
      </c>
      <c r="H24" s="1" t="s">
        <v>2421</v>
      </c>
      <c r="I24" s="1" t="s">
        <v>21</v>
      </c>
      <c r="J24" s="1" t="s">
        <v>2422</v>
      </c>
      <c r="K24">
        <v>-68.840015</v>
      </c>
      <c r="L24">
        <v>-32.892607</v>
      </c>
      <c r="O24" s="1" t="s">
        <v>2423</v>
      </c>
      <c r="P24">
        <f t="shared" si="1"/>
        <v>-32.892607</v>
      </c>
      <c r="Q24">
        <f>IFERROR(__xludf.DUMMYFUNCTION("""COMPUTED_VALUE"""),-68.840015)</f>
        <v>-68.840015</v>
      </c>
      <c r="R24" t="str">
        <f>IFERROR(__xludf.DUMMYFUNCTION("""COMPUTED_VALUE"""),"Av, San Martín 912, Mendoza , Argentina")</f>
        <v>Av, San Martín 912, Mendoza , Argentina</v>
      </c>
      <c r="S24" t="str">
        <f>IFERROR(__xludf.DUMMYFUNCTION("""COMPUTED_VALUE"""),"Avenida San Martín 912, Mendoza, Sección 2ª Barrio Cívico, Mendoza, AR")</f>
        <v>Avenida San Martín 912, Mendoza, Sección 2ª Barrio Cívico, Mendoza, AR</v>
      </c>
    </row>
    <row r="25">
      <c r="A25" s="1">
        <v>702.0</v>
      </c>
      <c r="B25" s="1" t="s">
        <v>36</v>
      </c>
      <c r="C25" s="1">
        <v>6.0</v>
      </c>
      <c r="D25" s="1" t="s">
        <v>2319</v>
      </c>
      <c r="E25" s="1" t="s">
        <v>2117</v>
      </c>
      <c r="F25" s="1" t="s">
        <v>2330</v>
      </c>
      <c r="G25" s="1" t="s">
        <v>2429</v>
      </c>
      <c r="H25" s="1" t="s">
        <v>2429</v>
      </c>
      <c r="I25" s="1" t="s">
        <v>21</v>
      </c>
      <c r="J25" s="1" t="s">
        <v>2431</v>
      </c>
      <c r="K25">
        <v>-68.83804</v>
      </c>
      <c r="L25">
        <v>-32.885271</v>
      </c>
      <c r="O25" s="1" t="s">
        <v>2432</v>
      </c>
      <c r="P25">
        <f t="shared" si="1"/>
        <v>-32.885271</v>
      </c>
      <c r="Q25">
        <f>IFERROR(__xludf.DUMMYFUNCTION("""COMPUTED_VALUE"""),-68.83804)</f>
        <v>-68.83804</v>
      </c>
      <c r="R25" t="str">
        <f>IFERROR(__xludf.DUMMYFUNCTION("""COMPUTED_VALUE"""),"Av, San Martín 2147, Mendoza , Argentina")</f>
        <v>Av, San Martín 2147, Mendoza , Argentina</v>
      </c>
      <c r="S25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26">
      <c r="A26" s="1">
        <v>830.0</v>
      </c>
      <c r="B26" s="1" t="s">
        <v>55</v>
      </c>
      <c r="C26" s="1">
        <v>4.0</v>
      </c>
      <c r="D26" s="1" t="s">
        <v>2319</v>
      </c>
      <c r="E26" s="1" t="s">
        <v>2117</v>
      </c>
      <c r="F26" s="1" t="s">
        <v>2330</v>
      </c>
      <c r="G26" s="1" t="s">
        <v>2441</v>
      </c>
      <c r="H26" s="1" t="s">
        <v>2441</v>
      </c>
      <c r="I26" s="1" t="s">
        <v>21</v>
      </c>
      <c r="J26" s="1" t="s">
        <v>2443</v>
      </c>
      <c r="K26">
        <v>-68.842498</v>
      </c>
      <c r="L26">
        <v>-32.885555</v>
      </c>
      <c r="O26" s="1" t="s">
        <v>2444</v>
      </c>
      <c r="P26">
        <f t="shared" si="1"/>
        <v>-32.885555</v>
      </c>
      <c r="Q26">
        <f>IFERROR(__xludf.DUMMYFUNCTION("""COMPUTED_VALUE"""),-68.842498)</f>
        <v>-68.842498</v>
      </c>
      <c r="R26" t="str">
        <f>IFERROR(__xludf.DUMMYFUNCTION("""COMPUTED_VALUE"""),"Av, Las Heras 333, Mendoza , Argentina")</f>
        <v>Av, Las Heras 333, Mendoza , Argentina</v>
      </c>
      <c r="S26" t="str">
        <f>IFERROR(__xludf.DUMMYFUNCTION("""COMPUTED_VALUE"""),"Avenida Las Heras 333, Ciudad de Mendoza, Sección 1ª Parque Central, Mendoza, AR")</f>
        <v>Avenida Las Heras 333, Ciudad de Mendoza, Sección 1ª Parque Central, Mendoza, AR</v>
      </c>
    </row>
    <row r="27">
      <c r="A27" s="1">
        <v>846.0</v>
      </c>
      <c r="B27" s="1" t="s">
        <v>55</v>
      </c>
      <c r="C27" s="1">
        <v>5.0</v>
      </c>
      <c r="D27" s="1" t="s">
        <v>2319</v>
      </c>
      <c r="E27" s="1" t="s">
        <v>2117</v>
      </c>
      <c r="F27" s="1" t="s">
        <v>2330</v>
      </c>
      <c r="G27" s="1" t="s">
        <v>2449</v>
      </c>
      <c r="H27" s="1" t="s">
        <v>2449</v>
      </c>
      <c r="I27" s="1" t="s">
        <v>21</v>
      </c>
      <c r="J27" s="1" t="s">
        <v>2451</v>
      </c>
      <c r="K27">
        <v>-68.844661</v>
      </c>
      <c r="L27">
        <v>-32.885196</v>
      </c>
      <c r="O27" s="1" t="s">
        <v>2452</v>
      </c>
      <c r="P27">
        <f t="shared" si="1"/>
        <v>-32.885196</v>
      </c>
      <c r="Q27">
        <f>IFERROR(__xludf.DUMMYFUNCTION("""COMPUTED_VALUE"""),-68.844661)</f>
        <v>-68.844661</v>
      </c>
      <c r="R27" t="str">
        <f>IFERROR(__xludf.DUMMYFUNCTION("""COMPUTED_VALUE"""),"Av, Las Heras 441, Mendoza , Argentina")</f>
        <v>Av, Las Heras 441, Mendoza , Argentina</v>
      </c>
      <c r="S27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28">
      <c r="A28" s="1">
        <v>882.0</v>
      </c>
      <c r="B28" s="1" t="s">
        <v>55</v>
      </c>
      <c r="C28" s="1">
        <v>10.0</v>
      </c>
      <c r="D28" s="1" t="s">
        <v>2319</v>
      </c>
      <c r="E28" s="1" t="s">
        <v>2117</v>
      </c>
      <c r="F28" s="1" t="s">
        <v>2330</v>
      </c>
      <c r="G28" s="1" t="s">
        <v>2459</v>
      </c>
      <c r="H28" s="1" t="s">
        <v>2459</v>
      </c>
      <c r="I28" s="1" t="s">
        <v>21</v>
      </c>
      <c r="J28" s="1" t="s">
        <v>2460</v>
      </c>
      <c r="K28">
        <v>-68.846876</v>
      </c>
      <c r="L28">
        <v>-32.884841</v>
      </c>
      <c r="O28" s="1" t="s">
        <v>2461</v>
      </c>
      <c r="P28">
        <f t="shared" si="1"/>
        <v>-32.884841</v>
      </c>
      <c r="Q28">
        <f>IFERROR(__xludf.DUMMYFUNCTION("""COMPUTED_VALUE"""),-68.846876)</f>
        <v>-68.846876</v>
      </c>
      <c r="R28" t="str">
        <f>IFERROR(__xludf.DUMMYFUNCTION("""COMPUTED_VALUE"""),"Av, Las Heras 680, Mendoza , Argentina")</f>
        <v>Av, Las Heras 680, Mendoza , Argentina</v>
      </c>
      <c r="S28" t="str">
        <f>IFERROR(__xludf.DUMMYFUNCTION("""COMPUTED_VALUE"""),"Avenida Las Heras 680, Ciudad de Mendoza, Sección 1ª Parque Central, Mendoza, AR")</f>
        <v>Avenida Las Heras 680, Ciudad de Mendoza, Sección 1ª Parque Central, Mendoza, AR</v>
      </c>
    </row>
    <row r="29">
      <c r="A29" s="1">
        <v>937.0</v>
      </c>
      <c r="B29" s="1" t="s">
        <v>55</v>
      </c>
      <c r="C29" s="1">
        <v>14.0</v>
      </c>
      <c r="D29" s="1" t="s">
        <v>2319</v>
      </c>
      <c r="E29" s="1" t="s">
        <v>2117</v>
      </c>
      <c r="F29" s="1" t="s">
        <v>2330</v>
      </c>
      <c r="G29" s="1" t="s">
        <v>2468</v>
      </c>
      <c r="H29" s="1" t="s">
        <v>2468</v>
      </c>
      <c r="I29" s="1" t="s">
        <v>21</v>
      </c>
      <c r="J29" s="1" t="s">
        <v>2469</v>
      </c>
      <c r="K29">
        <v>-68.841306</v>
      </c>
      <c r="L29">
        <v>-32.885879</v>
      </c>
      <c r="O29" s="1" t="s">
        <v>2470</v>
      </c>
      <c r="P29">
        <f t="shared" si="1"/>
        <v>-32.885879</v>
      </c>
      <c r="Q29">
        <f>IFERROR(__xludf.DUMMYFUNCTION("""COMPUTED_VALUE"""),-68.841306)</f>
        <v>-68.841306</v>
      </c>
      <c r="R29" t="str">
        <f>IFERROR(__xludf.DUMMYFUNCTION("""COMPUTED_VALUE"""),"Av, Las Heras 236, Mendoza , Argentina")</f>
        <v>Av, Las Heras 236, Mendoza , Argentina</v>
      </c>
      <c r="S29" t="str">
        <f>IFERROR(__xludf.DUMMYFUNCTION("""COMPUTED_VALUE"""),"Avenida Las Heras 236, Ciudad de Mendoza, Sección 1ª Parque Central, Mendoza, AR")</f>
        <v>Avenida Las Heras 236, Ciudad de Mendoza, Sección 1ª Parque Central, Mendoza, AR</v>
      </c>
    </row>
    <row r="30">
      <c r="A30" s="1">
        <v>995.0</v>
      </c>
      <c r="B30" s="1" t="s">
        <v>62</v>
      </c>
      <c r="C30" s="1">
        <v>4.0</v>
      </c>
      <c r="D30" s="1" t="s">
        <v>1372</v>
      </c>
      <c r="E30" s="1" t="s">
        <v>2117</v>
      </c>
      <c r="F30" s="1" t="s">
        <v>2330</v>
      </c>
      <c r="G30" s="1" t="s">
        <v>1375</v>
      </c>
      <c r="H30" s="1" t="s">
        <v>1375</v>
      </c>
      <c r="I30" s="1" t="s">
        <v>21</v>
      </c>
      <c r="J30" s="1" t="s">
        <v>2475</v>
      </c>
      <c r="K30">
        <v>-68.845681</v>
      </c>
      <c r="L30">
        <v>-32.894025</v>
      </c>
      <c r="O30" s="1" t="s">
        <v>2477</v>
      </c>
      <c r="P30">
        <f t="shared" si="1"/>
        <v>-32.894025</v>
      </c>
      <c r="Q30">
        <f>IFERROR(__xludf.DUMMYFUNCTION("""COMPUTED_VALUE"""),-68.845681)</f>
        <v>-68.845681</v>
      </c>
      <c r="R30" t="str">
        <f>IFERROR(__xludf.DUMMYFUNCTION("""COMPUTED_VALUE"""),"Av, Colón 339, Mendoza , Argentina")</f>
        <v>Av, Colón 339, Mendoza , Argentina</v>
      </c>
      <c r="S3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31">
      <c r="A31" s="1">
        <v>1025.0</v>
      </c>
      <c r="B31" s="1" t="s">
        <v>62</v>
      </c>
      <c r="C31" s="1">
        <v>9.0</v>
      </c>
      <c r="D31" s="1" t="s">
        <v>2480</v>
      </c>
      <c r="E31" s="1" t="s">
        <v>2117</v>
      </c>
      <c r="F31" s="1" t="s">
        <v>2330</v>
      </c>
      <c r="G31" s="1" t="s">
        <v>2482</v>
      </c>
      <c r="H31" s="1" t="s">
        <v>2482</v>
      </c>
      <c r="I31" s="1" t="s">
        <v>21</v>
      </c>
      <c r="J31" s="1" t="s">
        <v>2484</v>
      </c>
      <c r="K31">
        <v>-68.850579</v>
      </c>
      <c r="L31">
        <v>-32.893203</v>
      </c>
      <c r="O31" s="1" t="s">
        <v>2485</v>
      </c>
      <c r="P31">
        <f t="shared" si="1"/>
        <v>-32.893203</v>
      </c>
      <c r="Q31">
        <f>IFERROR(__xludf.DUMMYFUNCTION("""COMPUTED_VALUE"""),-68.850579)</f>
        <v>-68.850579</v>
      </c>
      <c r="R31" t="str">
        <f>IFERROR(__xludf.DUMMYFUNCTION("""COMPUTED_VALUE"""),"Av, Colón 788, Mendoza , Argentina")</f>
        <v>Av, Colón 788, Mendoza , Argentina</v>
      </c>
      <c r="S31" t="str">
        <f>IFERROR(__xludf.DUMMYFUNCTION("""COMPUTED_VALUE"""),"Avenida Colón 788, Ciudad de Mendoza, Sección 5ª Residencial Sur, Mendoza, AR")</f>
        <v>Avenida Colón 788, Ciudad de Mendoza, Sección 5ª Residencial Sur, Mendoza, AR</v>
      </c>
    </row>
    <row r="32">
      <c r="A32" s="1">
        <v>1043.0</v>
      </c>
      <c r="B32" s="1" t="s">
        <v>62</v>
      </c>
      <c r="C32" s="1">
        <v>10.0</v>
      </c>
      <c r="D32" s="1" t="s">
        <v>2489</v>
      </c>
      <c r="E32" s="1" t="s">
        <v>2117</v>
      </c>
      <c r="F32" s="1" t="s">
        <v>2330</v>
      </c>
      <c r="G32" s="1" t="s">
        <v>2491</v>
      </c>
      <c r="H32" s="1" t="s">
        <v>2491</v>
      </c>
      <c r="I32" s="1" t="s">
        <v>21</v>
      </c>
      <c r="J32" s="1" t="s">
        <v>2493</v>
      </c>
      <c r="K32">
        <v>-68.848574</v>
      </c>
      <c r="L32">
        <v>-32.893555</v>
      </c>
      <c r="O32" s="1" t="s">
        <v>2494</v>
      </c>
      <c r="P32">
        <f t="shared" si="1"/>
        <v>-32.893555</v>
      </c>
      <c r="Q32">
        <f>IFERROR(__xludf.DUMMYFUNCTION("""COMPUTED_VALUE"""),-68.848574)</f>
        <v>-68.848574</v>
      </c>
      <c r="R32" t="str">
        <f>IFERROR(__xludf.DUMMYFUNCTION("""COMPUTED_VALUE"""),"Av, Colón 622, Mendoza , Argentina")</f>
        <v>Av, Colón 622, Mendoza , Argentina</v>
      </c>
      <c r="S32" t="str">
        <f>IFERROR(__xludf.DUMMYFUNCTION("""COMPUTED_VALUE"""),"Avenida Colón 622, Ciudad de Mendoza, Sección 2ª Barrio Cívico, Mendoza, AR")</f>
        <v>Avenida Colón 622, Ciudad de Mendoza, Sección 2ª Barrio Cívico, Mendoza, AR</v>
      </c>
    </row>
    <row r="33">
      <c r="A33" s="1">
        <v>1058.0</v>
      </c>
      <c r="B33" s="1" t="s">
        <v>62</v>
      </c>
      <c r="C33" s="1">
        <v>12.0</v>
      </c>
      <c r="D33" s="1" t="s">
        <v>2497</v>
      </c>
      <c r="E33" s="1" t="s">
        <v>2117</v>
      </c>
      <c r="F33" s="1" t="s">
        <v>2330</v>
      </c>
      <c r="G33" s="1" t="s">
        <v>2349</v>
      </c>
      <c r="H33" s="1" t="s">
        <v>2499</v>
      </c>
      <c r="I33" s="1" t="s">
        <v>21</v>
      </c>
      <c r="J33" s="1" t="s">
        <v>2351</v>
      </c>
      <c r="K33">
        <v>-68.845681</v>
      </c>
      <c r="L33">
        <v>-32.894025</v>
      </c>
      <c r="O33" s="1" t="s">
        <v>2500</v>
      </c>
      <c r="P33">
        <f t="shared" si="1"/>
        <v>-32.894025</v>
      </c>
      <c r="Q33">
        <f>IFERROR(__xludf.DUMMYFUNCTION("""COMPUTED_VALUE"""),-68.845681)</f>
        <v>-68.845681</v>
      </c>
      <c r="R33" t="str">
        <f>IFERROR(__xludf.DUMMYFUNCTION("""COMPUTED_VALUE"""),"Av, Colón 474, Mendoza , Argentina")</f>
        <v>Av, Colón 474, Mendoza , Argentina</v>
      </c>
      <c r="S3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34">
      <c r="A34" s="1">
        <v>1267.0</v>
      </c>
      <c r="B34" s="1" t="s">
        <v>248</v>
      </c>
      <c r="C34" s="1">
        <v>2.0</v>
      </c>
      <c r="D34" s="1" t="s">
        <v>2505</v>
      </c>
      <c r="E34" s="1" t="s">
        <v>2117</v>
      </c>
      <c r="F34" s="1" t="s">
        <v>2330</v>
      </c>
      <c r="G34" s="1" t="s">
        <v>2508</v>
      </c>
      <c r="H34" s="1" t="s">
        <v>2508</v>
      </c>
      <c r="I34" s="1" t="s">
        <v>21</v>
      </c>
      <c r="J34" s="1" t="s">
        <v>2513</v>
      </c>
      <c r="K34">
        <v>-67.683115</v>
      </c>
      <c r="L34">
        <v>-34.974904</v>
      </c>
      <c r="O34" s="1" t="s">
        <v>2515</v>
      </c>
      <c r="P34">
        <f t="shared" si="1"/>
        <v>-34.974904</v>
      </c>
      <c r="Q34">
        <f>IFERROR(__xludf.DUMMYFUNCTION("""COMPUTED_VALUE"""),-67.683115)</f>
        <v>-67.683115</v>
      </c>
      <c r="R34" t="str">
        <f>IFERROR(__xludf.DUMMYFUNCTION("""COMPUTED_VALUE"""),"España 1624, Mendoza , Argentina")</f>
        <v>España 1624, Mendoza , Argentina</v>
      </c>
      <c r="S34" t="str">
        <f>IFERROR(__xludf.DUMMYFUNCTION("""COMPUTED_VALUE"""),"España, General Alvear, Distrito Ciudad de General Alvear, Mendoza, AR")</f>
        <v>España, General Alvear, Distrito Ciudad de General Alvear, Mendoza, AR</v>
      </c>
    </row>
    <row r="35">
      <c r="A35" s="1">
        <v>1366.0</v>
      </c>
      <c r="D35" s="1" t="s">
        <v>2524</v>
      </c>
      <c r="E35" s="1" t="s">
        <v>2117</v>
      </c>
      <c r="F35" s="1" t="s">
        <v>2330</v>
      </c>
      <c r="G35" s="1" t="s">
        <v>2526</v>
      </c>
      <c r="I35" s="1" t="s">
        <v>21</v>
      </c>
      <c r="J35" s="1" t="s">
        <v>2528</v>
      </c>
      <c r="K35">
        <v>-100.445882</v>
      </c>
      <c r="L35" s="1">
        <v>-39.78373</v>
      </c>
      <c r="O35" s="1" t="s">
        <v>2530</v>
      </c>
      <c r="P35">
        <f t="shared" si="1"/>
        <v>39.78373</v>
      </c>
      <c r="Q35">
        <f>IFERROR(__xludf.DUMMYFUNCTION("""COMPUTED_VALUE"""),-100.445882)</f>
        <v>-100.445882</v>
      </c>
      <c r="R35" t="str">
        <f>IFERROR(__xludf.DUMMYFUNCTION("""COMPUTED_VALUE"""),"San Martín 1360 local 8, Mendoza , Argentina")</f>
        <v>San Martín 1360 local 8, Mendoza , Argentina</v>
      </c>
      <c r="S35" t="str">
        <f>IFERROR(__xludf.DUMMYFUNCTION("""COMPUTED_VALUE"""),"US")</f>
        <v>US</v>
      </c>
    </row>
    <row r="36">
      <c r="A36" s="1">
        <v>1419.0</v>
      </c>
      <c r="D36" s="1" t="s">
        <v>2536</v>
      </c>
      <c r="E36" s="1" t="s">
        <v>2117</v>
      </c>
      <c r="F36" s="1" t="s">
        <v>2330</v>
      </c>
      <c r="G36" s="1" t="s">
        <v>2538</v>
      </c>
      <c r="I36" s="1" t="s">
        <v>21</v>
      </c>
      <c r="J36" s="1" t="s">
        <v>2539</v>
      </c>
      <c r="K36">
        <v>-100.445882</v>
      </c>
      <c r="L36" s="1">
        <v>-39.78373</v>
      </c>
      <c r="O36" s="1" t="s">
        <v>2541</v>
      </c>
      <c r="P36">
        <f t="shared" si="1"/>
        <v>39.78373</v>
      </c>
      <c r="Q36">
        <f>IFERROR(__xludf.DUMMYFUNCTION("""COMPUTED_VALUE"""),-100.445882)</f>
        <v>-100.445882</v>
      </c>
      <c r="R36" t="str">
        <f>IFERROR(__xludf.DUMMYFUNCTION("""COMPUTED_VALUE"""),"San Martín 1167 local a18, Mendoza , Argentina")</f>
        <v>San Martín 1167 local a18, Mendoza , Argentina</v>
      </c>
      <c r="S36" t="str">
        <f>IFERROR(__xludf.DUMMYFUNCTION("""COMPUTED_VALUE"""),"US")</f>
        <v>US</v>
      </c>
    </row>
    <row r="37">
      <c r="A37" s="1">
        <v>1420.0</v>
      </c>
      <c r="D37" s="1" t="s">
        <v>2550</v>
      </c>
      <c r="E37" s="1" t="s">
        <v>2117</v>
      </c>
      <c r="F37" s="1" t="s">
        <v>2330</v>
      </c>
      <c r="G37" s="1" t="s">
        <v>2551</v>
      </c>
      <c r="I37" s="1" t="s">
        <v>21</v>
      </c>
      <c r="J37" s="1" t="s">
        <v>2553</v>
      </c>
      <c r="K37">
        <v>-100.445882</v>
      </c>
      <c r="L37">
        <v>39.78373</v>
      </c>
      <c r="O37" s="1" t="s">
        <v>2555</v>
      </c>
      <c r="P37">
        <f t="shared" si="1"/>
        <v>39.78373</v>
      </c>
      <c r="Q37">
        <f>IFERROR(__xludf.DUMMYFUNCTION("""COMPUTED_VALUE"""),-100.445882)</f>
        <v>-100.445882</v>
      </c>
      <c r="R37" t="str">
        <f>IFERROR(__xludf.DUMMYFUNCTION("""COMPUTED_VALUE"""),"San Martín 1167 local a14, Mendoza , Argentina")</f>
        <v>San Martín 1167 local a14, Mendoza , Argentina</v>
      </c>
      <c r="S37" t="str">
        <f>IFERROR(__xludf.DUMMYFUNCTION("""COMPUTED_VALUE"""),"US")</f>
        <v>US</v>
      </c>
    </row>
    <row r="38">
      <c r="A38" s="1">
        <v>1423.0</v>
      </c>
      <c r="D38" s="1" t="s">
        <v>2565</v>
      </c>
      <c r="E38" s="1" t="s">
        <v>2117</v>
      </c>
      <c r="F38" s="1" t="s">
        <v>2330</v>
      </c>
      <c r="G38" s="1" t="s">
        <v>2567</v>
      </c>
      <c r="I38" s="1" t="s">
        <v>21</v>
      </c>
      <c r="J38" s="1" t="s">
        <v>2569</v>
      </c>
      <c r="K38">
        <v>-100.445882</v>
      </c>
      <c r="L38">
        <v>39.78373</v>
      </c>
      <c r="O38" s="1" t="s">
        <v>2570</v>
      </c>
      <c r="P38">
        <f t="shared" si="1"/>
        <v>39.78373</v>
      </c>
      <c r="Q38">
        <f>IFERROR(__xludf.DUMMYFUNCTION("""COMPUTED_VALUE"""),-100.445882)</f>
        <v>-100.445882</v>
      </c>
      <c r="R38" t="str">
        <f>IFERROR(__xludf.DUMMYFUNCTION("""COMPUTED_VALUE"""),"San Martín 1167 local v15, Mendoza , Argentina")</f>
        <v>San Martín 1167 local v15, Mendoza , Argentina</v>
      </c>
      <c r="S38" t="str">
        <f>IFERROR(__xludf.DUMMYFUNCTION("""COMPUTED_VALUE"""),"US")</f>
        <v>US</v>
      </c>
    </row>
    <row r="39">
      <c r="A39" s="1">
        <v>1505.0</v>
      </c>
      <c r="D39" s="1" t="s">
        <v>2579</v>
      </c>
      <c r="E39" s="1" t="s">
        <v>2117</v>
      </c>
      <c r="F39" s="1" t="s">
        <v>2330</v>
      </c>
      <c r="G39" s="1" t="s">
        <v>2581</v>
      </c>
      <c r="I39" s="1" t="s">
        <v>21</v>
      </c>
      <c r="J39" s="1" t="s">
        <v>2583</v>
      </c>
      <c r="K39">
        <v>-100.445882</v>
      </c>
      <c r="L39">
        <v>39.78373</v>
      </c>
      <c r="O39" s="1" t="s">
        <v>2585</v>
      </c>
      <c r="P39">
        <f t="shared" si="1"/>
        <v>39.78373</v>
      </c>
      <c r="Q39">
        <f>IFERROR(__xludf.DUMMYFUNCTION("""COMPUTED_VALUE"""),-100.445882)</f>
        <v>-100.445882</v>
      </c>
      <c r="R39" t="str">
        <f>IFERROR(__xludf.DUMMYFUNCTION("""COMPUTED_VALUE"""),"San Martín 1245 local 103, Mendoza , Argentina")</f>
        <v>San Martín 1245 local 103, Mendoza , Argentina</v>
      </c>
      <c r="S39" t="str">
        <f>IFERROR(__xludf.DUMMYFUNCTION("""COMPUTED_VALUE"""),"US")</f>
        <v>US</v>
      </c>
    </row>
    <row r="40">
      <c r="A40" s="1">
        <v>1566.0</v>
      </c>
      <c r="D40" s="1" t="s">
        <v>2596</v>
      </c>
      <c r="E40" s="1" t="s">
        <v>2117</v>
      </c>
      <c r="F40" s="1" t="s">
        <v>2330</v>
      </c>
      <c r="G40" s="1" t="s">
        <v>2597</v>
      </c>
      <c r="I40" s="1" t="s">
        <v>21</v>
      </c>
      <c r="J40" s="1" t="s">
        <v>2599</v>
      </c>
      <c r="K40">
        <v>-100.445882</v>
      </c>
      <c r="L40">
        <v>39.78373</v>
      </c>
      <c r="O40" s="1" t="s">
        <v>2601</v>
      </c>
      <c r="P40">
        <f t="shared" si="1"/>
        <v>39.78373</v>
      </c>
      <c r="Q40">
        <f>IFERROR(__xludf.DUMMYFUNCTION("""COMPUTED_VALUE"""),-100.445882)</f>
        <v>-100.445882</v>
      </c>
      <c r="R40" t="str">
        <f>IFERROR(__xludf.DUMMYFUNCTION("""COMPUTED_VALUE"""),"San Martín 1425 local 32, Mendoza , Argentina")</f>
        <v>San Martín 1425 local 32, Mendoza , Argentina</v>
      </c>
      <c r="S40" t="str">
        <f>IFERROR(__xludf.DUMMYFUNCTION("""COMPUTED_VALUE"""),"US")</f>
        <v>US</v>
      </c>
    </row>
    <row r="41">
      <c r="A41" s="1">
        <v>1581.0</v>
      </c>
      <c r="D41" s="1" t="s">
        <v>2611</v>
      </c>
      <c r="E41" s="1" t="s">
        <v>2117</v>
      </c>
      <c r="F41" s="1" t="s">
        <v>2330</v>
      </c>
      <c r="G41" s="1" t="s">
        <v>2614</v>
      </c>
      <c r="I41" s="1" t="s">
        <v>21</v>
      </c>
      <c r="J41" s="1" t="s">
        <v>2615</v>
      </c>
      <c r="K41">
        <v>-100.445882</v>
      </c>
      <c r="L41">
        <v>39.78373</v>
      </c>
      <c r="O41" s="1" t="s">
        <v>2616</v>
      </c>
      <c r="P41">
        <f t="shared" si="1"/>
        <v>39.78373</v>
      </c>
      <c r="Q41">
        <f>IFERROR(__xludf.DUMMYFUNCTION("""COMPUTED_VALUE"""),-100.445882)</f>
        <v>-100.445882</v>
      </c>
      <c r="R41" t="str">
        <f>IFERROR(__xludf.DUMMYFUNCTION("""COMPUTED_VALUE"""),"San Martín 1672 local 8, Mendoza , Argentina")</f>
        <v>San Martín 1672 local 8, Mendoza , Argentina</v>
      </c>
      <c r="S41" t="str">
        <f>IFERROR(__xludf.DUMMYFUNCTION("""COMPUTED_VALUE"""),"US")</f>
        <v>US</v>
      </c>
    </row>
    <row r="42">
      <c r="A42" s="1">
        <v>1584.0</v>
      </c>
      <c r="D42" s="1" t="s">
        <v>2623</v>
      </c>
      <c r="E42" s="1" t="s">
        <v>2117</v>
      </c>
      <c r="F42" s="1" t="s">
        <v>2330</v>
      </c>
      <c r="G42" s="1" t="s">
        <v>2626</v>
      </c>
      <c r="I42" s="1" t="s">
        <v>21</v>
      </c>
      <c r="J42" s="1" t="s">
        <v>2628</v>
      </c>
      <c r="K42">
        <v>-100.445882</v>
      </c>
      <c r="L42">
        <v>39.78373</v>
      </c>
      <c r="O42" s="1" t="s">
        <v>2630</v>
      </c>
      <c r="P42">
        <f t="shared" si="1"/>
        <v>39.78373</v>
      </c>
      <c r="Q42">
        <f>IFERROR(__xludf.DUMMYFUNCTION("""COMPUTED_VALUE"""),-100.445882)</f>
        <v>-100.445882</v>
      </c>
      <c r="R42" t="str">
        <f>IFERROR(__xludf.DUMMYFUNCTION("""COMPUTED_VALUE"""),"San Martín 1672 local i, Mendoza , Argentina")</f>
        <v>San Martín 1672 local i, Mendoza , Argentina</v>
      </c>
      <c r="S42" t="str">
        <f>IFERROR(__xludf.DUMMYFUNCTION("""COMPUTED_VALUE"""),"US")</f>
        <v>US</v>
      </c>
    </row>
    <row r="43">
      <c r="A43" s="1">
        <v>1611.0</v>
      </c>
      <c r="D43" s="1" t="s">
        <v>2639</v>
      </c>
      <c r="E43" s="1" t="s">
        <v>2117</v>
      </c>
      <c r="F43" s="1" t="s">
        <v>2330</v>
      </c>
      <c r="G43" s="1" t="s">
        <v>2641</v>
      </c>
      <c r="I43" s="1" t="s">
        <v>21</v>
      </c>
      <c r="J43" s="1" t="s">
        <v>2642</v>
      </c>
      <c r="K43">
        <v>-68.557455</v>
      </c>
      <c r="L43">
        <v>-33.052166</v>
      </c>
      <c r="O43" s="1" t="s">
        <v>2644</v>
      </c>
      <c r="P43">
        <f t="shared" si="1"/>
        <v>-33.052166</v>
      </c>
      <c r="Q43">
        <f>IFERROR(__xludf.DUMMYFUNCTION("""COMPUTED_VALUE"""),-68.557455)</f>
        <v>-68.557455</v>
      </c>
      <c r="R43" t="str">
        <f>IFERROR(__xludf.DUMMYFUNCTION("""COMPUTED_VALUE"""),"San Martín 1136 local 37, Mendoza , Argentina")</f>
        <v>San Martín 1136 local 37, Mendoza , Argentina</v>
      </c>
      <c r="S43" t="str">
        <f>IFERROR(__xludf.DUMMYFUNCTION("""COMPUTED_VALUE"""),"San Martín, Distrito Palmira, Mendoza, AR")</f>
        <v>San Martín, Distrito Palmira, Mendoza, AR</v>
      </c>
    </row>
    <row r="44">
      <c r="A44" s="1">
        <v>1612.0</v>
      </c>
      <c r="D44" s="1" t="s">
        <v>2655</v>
      </c>
      <c r="E44" s="1" t="s">
        <v>2117</v>
      </c>
      <c r="F44" s="1" t="s">
        <v>2330</v>
      </c>
      <c r="G44" s="1" t="s">
        <v>2658</v>
      </c>
      <c r="I44" s="1" t="s">
        <v>21</v>
      </c>
      <c r="J44" s="1" t="s">
        <v>2659</v>
      </c>
      <c r="K44">
        <v>-100.445882</v>
      </c>
      <c r="L44">
        <v>39.78373</v>
      </c>
      <c r="O44" s="1" t="s">
        <v>2660</v>
      </c>
      <c r="P44">
        <f t="shared" si="1"/>
        <v>39.78373</v>
      </c>
      <c r="Q44">
        <f>IFERROR(__xludf.DUMMYFUNCTION("""COMPUTED_VALUE"""),-100.445882)</f>
        <v>-100.445882</v>
      </c>
      <c r="R44" t="str">
        <f>IFERROR(__xludf.DUMMYFUNCTION("""COMPUTED_VALUE"""),"San Martín 1027 local 2, Mendoza , Argentina")</f>
        <v>San Martín 1027 local 2, Mendoza , Argentina</v>
      </c>
      <c r="S44" t="str">
        <f>IFERROR(__xludf.DUMMYFUNCTION("""COMPUTED_VALUE"""),"US")</f>
        <v>US</v>
      </c>
    </row>
    <row r="45">
      <c r="A45" s="1">
        <v>1634.0</v>
      </c>
      <c r="D45" s="1" t="s">
        <v>2673</v>
      </c>
      <c r="E45" s="1" t="s">
        <v>2117</v>
      </c>
      <c r="F45" s="1" t="s">
        <v>2330</v>
      </c>
      <c r="G45" s="1" t="s">
        <v>2675</v>
      </c>
      <c r="I45" s="1" t="s">
        <v>21</v>
      </c>
      <c r="J45" s="1" t="s">
        <v>2677</v>
      </c>
      <c r="K45">
        <v>-100.445882</v>
      </c>
      <c r="L45">
        <v>39.78373</v>
      </c>
      <c r="O45" s="1" t="s">
        <v>2679</v>
      </c>
      <c r="P45">
        <f t="shared" si="1"/>
        <v>39.78373</v>
      </c>
      <c r="Q45">
        <f>IFERROR(__xludf.DUMMYFUNCTION("""COMPUTED_VALUE"""),-100.445882)</f>
        <v>-100.445882</v>
      </c>
      <c r="R45" t="str">
        <f>IFERROR(__xludf.DUMMYFUNCTION("""COMPUTED_VALUE"""),"San Martín 1027 local 53, Mendoza , Argentina")</f>
        <v>San Martín 1027 local 53, Mendoza , Argentina</v>
      </c>
      <c r="S45" t="str">
        <f>IFERROR(__xludf.DUMMYFUNCTION("""COMPUTED_VALUE"""),"US")</f>
        <v>US</v>
      </c>
    </row>
    <row r="46">
      <c r="A46" s="1">
        <v>1636.0</v>
      </c>
      <c r="D46" s="1" t="s">
        <v>2687</v>
      </c>
      <c r="E46" s="1" t="s">
        <v>2117</v>
      </c>
      <c r="F46" s="1" t="s">
        <v>2330</v>
      </c>
      <c r="G46" s="1" t="s">
        <v>2689</v>
      </c>
      <c r="I46" s="1" t="s">
        <v>21</v>
      </c>
      <c r="J46" s="1" t="s">
        <v>2691</v>
      </c>
      <c r="K46">
        <v>-100.445882</v>
      </c>
      <c r="L46">
        <v>39.78373</v>
      </c>
      <c r="O46" s="1" t="s">
        <v>2692</v>
      </c>
      <c r="P46">
        <f t="shared" si="1"/>
        <v>39.78373</v>
      </c>
      <c r="Q46">
        <f>IFERROR(__xludf.DUMMYFUNCTION("""COMPUTED_VALUE"""),-100.445882)</f>
        <v>-100.445882</v>
      </c>
      <c r="R46" t="str">
        <f>IFERROR(__xludf.DUMMYFUNCTION("""COMPUTED_VALUE"""),"San Martín 1027 local 55, Mendoza , Argentina")</f>
        <v>San Martín 1027 local 55, Mendoza , Argentina</v>
      </c>
      <c r="S46" t="str">
        <f>IFERROR(__xludf.DUMMYFUNCTION("""COMPUTED_VALUE"""),"US")</f>
        <v>US</v>
      </c>
    </row>
    <row r="47">
      <c r="A47" s="1">
        <v>1650.0</v>
      </c>
      <c r="D47" s="1" t="s">
        <v>2702</v>
      </c>
      <c r="E47" s="1" t="s">
        <v>2117</v>
      </c>
      <c r="F47" s="1" t="s">
        <v>2330</v>
      </c>
      <c r="G47" s="1" t="s">
        <v>2704</v>
      </c>
      <c r="I47" s="1" t="s">
        <v>21</v>
      </c>
      <c r="J47" s="1" t="s">
        <v>2706</v>
      </c>
      <c r="K47">
        <v>-68.583709</v>
      </c>
      <c r="L47">
        <v>-33.09471</v>
      </c>
      <c r="O47" s="1" t="s">
        <v>2708</v>
      </c>
      <c r="P47">
        <f t="shared" si="1"/>
        <v>-33.09471</v>
      </c>
      <c r="Q47">
        <f>IFERROR(__xludf.DUMMYFUNCTION("""COMPUTED_VALUE"""),-68.583709)</f>
        <v>-68.583709</v>
      </c>
      <c r="R47" t="str">
        <f>IFERROR(__xludf.DUMMYFUNCTION("""COMPUTED_VALUE"""),"Sarmiento 133 local 22, Mendoza , Argentina")</f>
        <v>Sarmiento 133 local 22, Mendoza , Argentina</v>
      </c>
      <c r="S47" t="str">
        <f>IFERROR(__xludf.DUMMYFUNCTION("""COMPUTED_VALUE"""),"Sarmiento, Los Barriales, Distrito Los Barriales, Mendoza, AR")</f>
        <v>Sarmiento, Los Barriales, Distrito Los Barriales, Mendoza, AR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O1" s="1" t="s">
        <v>1278</v>
      </c>
    </row>
    <row r="2">
      <c r="A2" s="1">
        <v>11.0</v>
      </c>
      <c r="B2" s="1" t="s">
        <v>12</v>
      </c>
      <c r="C2" s="1">
        <v>2.0</v>
      </c>
      <c r="D2" s="1" t="s">
        <v>2881</v>
      </c>
      <c r="E2" s="1" t="s">
        <v>2882</v>
      </c>
      <c r="F2" s="1" t="s">
        <v>2883</v>
      </c>
      <c r="G2" s="1" t="s">
        <v>2884</v>
      </c>
      <c r="H2" s="1" t="s">
        <v>2884</v>
      </c>
      <c r="I2" s="1" t="s">
        <v>21</v>
      </c>
      <c r="J2" s="1" t="s">
        <v>2886</v>
      </c>
      <c r="K2">
        <v>-68.846157</v>
      </c>
      <c r="L2">
        <v>-32.906854</v>
      </c>
      <c r="O2" s="1" t="s">
        <v>2887</v>
      </c>
      <c r="P2">
        <f t="shared" ref="P2:P219" si="1">IFERROR(__xludf.DUMMYFUNCTION("SPLIT(O2,"";"")"),-32.906854)</f>
        <v>-32.906854</v>
      </c>
      <c r="Q2">
        <f>IFERROR(__xludf.DUMMYFUNCTION("""COMPUTED_VALUE"""),-68.846157)</f>
        <v>-68.846157</v>
      </c>
      <c r="R2" t="str">
        <f>IFERROR(__xludf.DUMMYFUNCTION("""COMPUTED_VALUE"""),"Juan B, Justo 185, Mendoza , Argentina")</f>
        <v>Juan B, Justo 185, Mendoza , Argentina</v>
      </c>
      <c r="S2" t="str">
        <f>IFERROR(__xludf.DUMMYFUNCTION("""COMPUTED_VALUE"""),"Juan B, Justo 185, Villa Mercedes, Departamento Godoy Cruz, Mendoza, AR")</f>
        <v>Juan B, Justo 185, Villa Mercedes, Departamento Godoy Cruz, Mendoza, AR</v>
      </c>
    </row>
    <row r="3">
      <c r="A3" s="1">
        <v>16.0</v>
      </c>
      <c r="B3" s="1" t="s">
        <v>12</v>
      </c>
      <c r="C3" s="1">
        <v>3.0</v>
      </c>
      <c r="D3" s="1" t="s">
        <v>2898</v>
      </c>
      <c r="E3" s="1" t="s">
        <v>2882</v>
      </c>
      <c r="F3" s="1" t="s">
        <v>2883</v>
      </c>
      <c r="G3" s="1" t="s">
        <v>2901</v>
      </c>
      <c r="H3" s="1" t="s">
        <v>2901</v>
      </c>
      <c r="I3" s="1" t="s">
        <v>21</v>
      </c>
      <c r="J3" s="1" t="s">
        <v>2903</v>
      </c>
      <c r="K3">
        <v>-68.84723</v>
      </c>
      <c r="L3">
        <v>-32.906749</v>
      </c>
      <c r="O3" s="1" t="s">
        <v>2904</v>
      </c>
      <c r="P3">
        <f t="shared" si="1"/>
        <v>-32.906749</v>
      </c>
      <c r="Q3">
        <f>IFERROR(__xludf.DUMMYFUNCTION("""COMPUTED_VALUE"""),-68.84723)</f>
        <v>-68.84723</v>
      </c>
      <c r="R3" t="str">
        <f>IFERROR(__xludf.DUMMYFUNCTION("""COMPUTED_VALUE"""),"Juan B, Justo 261, Mendoza , Argentina")</f>
        <v>Juan B, Justo 261, Mendoza , Argentina</v>
      </c>
      <c r="S3" t="str">
        <f>IFERROR(__xludf.DUMMYFUNCTION("""COMPUTED_VALUE"""),"Juan B, Justo 261, Villa Mercedes, Departamento Godoy Cruz, Mendoza, AR")</f>
        <v>Juan B, Justo 261, Villa Mercedes, Departamento Godoy Cruz, Mendoza, AR</v>
      </c>
    </row>
    <row r="4">
      <c r="A4" s="1">
        <v>27.0</v>
      </c>
      <c r="B4" s="1" t="s">
        <v>12</v>
      </c>
      <c r="C4" s="1">
        <v>5.0</v>
      </c>
      <c r="D4" s="1" t="s">
        <v>2908</v>
      </c>
      <c r="E4" s="1" t="s">
        <v>2882</v>
      </c>
      <c r="F4" s="1" t="s">
        <v>2883</v>
      </c>
      <c r="G4" s="1" t="s">
        <v>2909</v>
      </c>
      <c r="H4" s="1" t="s">
        <v>2909</v>
      </c>
      <c r="I4" s="1" t="s">
        <v>21</v>
      </c>
      <c r="J4" s="1" t="s">
        <v>2910</v>
      </c>
      <c r="K4">
        <v>-68.849491</v>
      </c>
      <c r="L4">
        <v>-32.906514</v>
      </c>
      <c r="O4" s="1" t="s">
        <v>2911</v>
      </c>
      <c r="P4">
        <f t="shared" si="1"/>
        <v>-32.906514</v>
      </c>
      <c r="Q4">
        <f>IFERROR(__xludf.DUMMYFUNCTION("""COMPUTED_VALUE"""),-68.849491)</f>
        <v>-68.849491</v>
      </c>
      <c r="R4" t="str">
        <f>IFERROR(__xludf.DUMMYFUNCTION("""COMPUTED_VALUE"""),"Juan B, Justo 429, Mendoza , Argentina")</f>
        <v>Juan B, Justo 429, Mendoza , Argentina</v>
      </c>
      <c r="S4" t="str">
        <f>IFERROR(__xludf.DUMMYFUNCTION("""COMPUTED_VALUE"""),"Juan B, Justo 429, Villa Mercedes, Departamento Godoy Cruz, Mendoza, AR")</f>
        <v>Juan B, Justo 429, Villa Mercedes, Departamento Godoy Cruz, Mendoza, AR</v>
      </c>
    </row>
    <row r="5">
      <c r="A5" s="1">
        <v>31.0</v>
      </c>
      <c r="B5" s="1" t="s">
        <v>12</v>
      </c>
      <c r="C5" s="1">
        <v>6.0</v>
      </c>
      <c r="D5" s="1" t="s">
        <v>2916</v>
      </c>
      <c r="E5" s="1" t="s">
        <v>2882</v>
      </c>
      <c r="F5" s="1" t="s">
        <v>2883</v>
      </c>
      <c r="G5" s="1" t="s">
        <v>2918</v>
      </c>
      <c r="H5" s="1" t="s">
        <v>2918</v>
      </c>
      <c r="I5" s="1" t="s">
        <v>21</v>
      </c>
      <c r="J5" s="1" t="s">
        <v>2921</v>
      </c>
      <c r="K5">
        <v>-68.850775</v>
      </c>
      <c r="L5">
        <v>-32.906394</v>
      </c>
      <c r="O5" s="1" t="s">
        <v>2922</v>
      </c>
      <c r="P5">
        <f t="shared" si="1"/>
        <v>-32.906394</v>
      </c>
      <c r="Q5">
        <f>IFERROR(__xludf.DUMMYFUNCTION("""COMPUTED_VALUE"""),-68.850775)</f>
        <v>-68.850775</v>
      </c>
      <c r="R5" t="str">
        <f>IFERROR(__xludf.DUMMYFUNCTION("""COMPUTED_VALUE"""),"Juan B, Justo 513, Mendoza , Argentina")</f>
        <v>Juan B, Justo 513, Mendoza , Argentina</v>
      </c>
      <c r="S5" t="str">
        <f>IFERROR(__xludf.DUMMYFUNCTION("""COMPUTED_VALUE"""),"Juan B, Justo 513, Villa Mercedes, Departamento Godoy Cruz, Mendoza, AR")</f>
        <v>Juan B, Justo 513, Villa Mercedes, Departamento Godoy Cruz, Mendoza, AR</v>
      </c>
    </row>
    <row r="6">
      <c r="A6" s="1">
        <v>32.0</v>
      </c>
      <c r="B6" s="1" t="s">
        <v>12</v>
      </c>
      <c r="C6" s="1">
        <v>7.0</v>
      </c>
      <c r="D6" s="1" t="s">
        <v>2928</v>
      </c>
      <c r="E6" s="1" t="s">
        <v>2882</v>
      </c>
      <c r="F6" s="1" t="s">
        <v>2883</v>
      </c>
      <c r="G6" s="1" t="s">
        <v>2930</v>
      </c>
      <c r="H6" s="1" t="s">
        <v>2930</v>
      </c>
      <c r="I6" s="1" t="s">
        <v>21</v>
      </c>
      <c r="J6" s="1" t="s">
        <v>2932</v>
      </c>
      <c r="K6">
        <v>-69.012587</v>
      </c>
      <c r="L6">
        <v>-33.571657</v>
      </c>
      <c r="O6" s="1" t="s">
        <v>2933</v>
      </c>
      <c r="P6">
        <f t="shared" si="1"/>
        <v>-33.571657</v>
      </c>
      <c r="Q6">
        <f>IFERROR(__xludf.DUMMYFUNCTION("""COMPUTED_VALUE"""),-69.012587)</f>
        <v>-69.012587</v>
      </c>
      <c r="R6" t="str">
        <f>IFERROR(__xludf.DUMMYFUNCTION("""COMPUTED_VALUE"""),"Juan B, Justo 611, Mendoza , Argentina")</f>
        <v>Juan B, Justo 611, Mendoza , Argentina</v>
      </c>
      <c r="S6" t="str">
        <f>IFERROR(__xludf.DUMMYFUNCTION("""COMPUTED_VALUE"""),"Juan B, Justo, Tunuyán, Distrito Ciudad de Tunuyán, Mendoza, AR")</f>
        <v>Juan B, Justo, Tunuyán, Distrito Ciudad de Tunuyán, Mendoza, AR</v>
      </c>
    </row>
    <row r="7">
      <c r="A7" s="1">
        <v>274.0</v>
      </c>
      <c r="B7" s="1" t="s">
        <v>51</v>
      </c>
      <c r="C7" s="1">
        <v>1.0</v>
      </c>
      <c r="D7" s="1" t="s">
        <v>2938</v>
      </c>
      <c r="E7" s="1" t="s">
        <v>2882</v>
      </c>
      <c r="F7" s="1" t="s">
        <v>2883</v>
      </c>
      <c r="G7" s="1" t="s">
        <v>2939</v>
      </c>
      <c r="H7" s="1" t="s">
        <v>2939</v>
      </c>
      <c r="I7" s="1" t="s">
        <v>21</v>
      </c>
      <c r="J7" s="1" t="s">
        <v>2940</v>
      </c>
      <c r="K7">
        <v>-67.69702</v>
      </c>
      <c r="L7">
        <v>-34.983771</v>
      </c>
      <c r="O7" s="1" t="s">
        <v>2941</v>
      </c>
      <c r="P7">
        <f t="shared" si="1"/>
        <v>-34.983771</v>
      </c>
      <c r="Q7">
        <f>IFERROR(__xludf.DUMMYFUNCTION("""COMPUTED_VALUE"""),-67.69702)</f>
        <v>-67.69702</v>
      </c>
      <c r="R7" t="str">
        <f>IFERROR(__xludf.DUMMYFUNCTION("""COMPUTED_VALUE"""),"Sarmiento 69, Mendoza , Argentina")</f>
        <v>Sarmiento 69, Mendoza , Argentina</v>
      </c>
      <c r="S7" t="str">
        <f>IFERROR(__xludf.DUMMYFUNCTION("""COMPUTED_VALUE"""),"Sarmiento, General Alvear, Distrito Ciudad de General Alvear, Mendoza, AR")</f>
        <v>Sarmiento, General Alvear, Distrito Ciudad de General Alvear, Mendoza, AR</v>
      </c>
    </row>
    <row r="8">
      <c r="B8" s="1" t="s">
        <v>62</v>
      </c>
      <c r="C8" s="1">
        <v>3.0</v>
      </c>
      <c r="D8" s="1" t="s">
        <v>2948</v>
      </c>
      <c r="E8" s="1" t="s">
        <v>2882</v>
      </c>
      <c r="F8" s="1" t="s">
        <v>2883</v>
      </c>
      <c r="G8" s="1" t="s">
        <v>2949</v>
      </c>
      <c r="H8" s="1" t="s">
        <v>2949</v>
      </c>
      <c r="I8" s="1" t="s">
        <v>21</v>
      </c>
      <c r="J8" s="1" t="s">
        <v>2951</v>
      </c>
      <c r="K8">
        <v>-68.845681</v>
      </c>
      <c r="L8">
        <v>-32.894025</v>
      </c>
      <c r="O8" s="1" t="s">
        <v>2953</v>
      </c>
      <c r="P8">
        <f t="shared" si="1"/>
        <v>-32.894025</v>
      </c>
      <c r="Q8">
        <f>IFERROR(__xludf.DUMMYFUNCTION("""COMPUTED_VALUE"""),-68.845681)</f>
        <v>-68.845681</v>
      </c>
      <c r="R8" t="str">
        <f>IFERROR(__xludf.DUMMYFUNCTION("""COMPUTED_VALUE"""),"Av, Colón 241, Mendoza , Argentina")</f>
        <v>Av, Colón 241, Mendoza , Argentina</v>
      </c>
      <c r="S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9">
      <c r="A9" s="1">
        <v>1630.0</v>
      </c>
      <c r="D9" s="1" t="s">
        <v>2961</v>
      </c>
      <c r="E9" s="1" t="s">
        <v>2882</v>
      </c>
      <c r="F9" s="1" t="s">
        <v>2883</v>
      </c>
      <c r="G9" s="1" t="s">
        <v>2963</v>
      </c>
      <c r="I9" s="1" t="s">
        <v>21</v>
      </c>
      <c r="J9" s="1" t="s">
        <v>2965</v>
      </c>
      <c r="K9">
        <v>-100.445882</v>
      </c>
      <c r="L9">
        <v>39.78373</v>
      </c>
      <c r="O9" s="1" t="s">
        <v>2967</v>
      </c>
      <c r="P9">
        <f t="shared" si="1"/>
        <v>39.78373</v>
      </c>
      <c r="Q9">
        <f>IFERROR(__xludf.DUMMYFUNCTION("""COMPUTED_VALUE"""),-100.445882)</f>
        <v>-100.445882</v>
      </c>
      <c r="R9" t="str">
        <f>IFERROR(__xludf.DUMMYFUNCTION("""COMPUTED_VALUE"""),"San Martín 1027 local 47, Mendoza , Argentina")</f>
        <v>San Martín 1027 local 47, Mendoza , Argentina</v>
      </c>
      <c r="S9" t="str">
        <f>IFERROR(__xludf.DUMMYFUNCTION("""COMPUTED_VALUE"""),"US")</f>
        <v>US</v>
      </c>
    </row>
    <row r="10">
      <c r="A10" s="1">
        <v>23.0</v>
      </c>
      <c r="B10" s="1" t="s">
        <v>12</v>
      </c>
      <c r="C10" s="1">
        <v>5.0</v>
      </c>
      <c r="D10" s="1" t="s">
        <v>2976</v>
      </c>
      <c r="E10" s="1" t="s">
        <v>2882</v>
      </c>
      <c r="F10" s="1" t="s">
        <v>2978</v>
      </c>
      <c r="G10" s="1" t="s">
        <v>2979</v>
      </c>
      <c r="H10" s="1" t="s">
        <v>2979</v>
      </c>
      <c r="I10" s="1" t="s">
        <v>21</v>
      </c>
      <c r="J10" s="1" t="s">
        <v>2981</v>
      </c>
      <c r="K10">
        <v>-68.850114</v>
      </c>
      <c r="L10">
        <v>-32.906459</v>
      </c>
      <c r="O10" s="1" t="s">
        <v>2983</v>
      </c>
      <c r="P10">
        <f t="shared" si="1"/>
        <v>-32.906459</v>
      </c>
      <c r="Q10">
        <f>IFERROR(__xludf.DUMMYFUNCTION("""COMPUTED_VALUE"""),-68.850114)</f>
        <v>-68.850114</v>
      </c>
      <c r="R10" t="str">
        <f>IFERROR(__xludf.DUMMYFUNCTION("""COMPUTED_VALUE"""),"Juan B, Justo 473, Mendoza , Argentina")</f>
        <v>Juan B, Justo 473, Mendoza , Argentina</v>
      </c>
      <c r="S10" t="str">
        <f>IFERROR(__xludf.DUMMYFUNCTION("""COMPUTED_VALUE"""),"Juan B, Justo 473, Villa Mercedes, Departamento Godoy Cruz, Mendoza, AR")</f>
        <v>Juan B, Justo 473, Villa Mercedes, Departamento Godoy Cruz, Mendoza, AR</v>
      </c>
    </row>
    <row r="11">
      <c r="A11" s="1">
        <v>26.0</v>
      </c>
      <c r="B11" s="1" t="s">
        <v>12</v>
      </c>
      <c r="C11" s="1">
        <v>5.0</v>
      </c>
      <c r="D11" s="1" t="s">
        <v>2992</v>
      </c>
      <c r="E11" s="1" t="s">
        <v>2882</v>
      </c>
      <c r="F11" s="1" t="s">
        <v>2978</v>
      </c>
      <c r="G11" s="1" t="s">
        <v>2994</v>
      </c>
      <c r="H11" s="1" t="s">
        <v>2994</v>
      </c>
      <c r="I11" s="1" t="s">
        <v>21</v>
      </c>
      <c r="J11" s="1" t="s">
        <v>2995</v>
      </c>
      <c r="K11">
        <v>-68.849293</v>
      </c>
      <c r="L11">
        <v>-32.906532</v>
      </c>
      <c r="O11" s="1" t="s">
        <v>2996</v>
      </c>
      <c r="P11">
        <f t="shared" si="1"/>
        <v>-32.906532</v>
      </c>
      <c r="Q11">
        <f>IFERROR(__xludf.DUMMYFUNCTION("""COMPUTED_VALUE"""),-68.849293)</f>
        <v>-68.849293</v>
      </c>
      <c r="R11" t="str">
        <f>IFERROR(__xludf.DUMMYFUNCTION("""COMPUTED_VALUE"""),"Juan B, Justo 415, Mendoza , Argentina")</f>
        <v>Juan B, Justo 415, Mendoza , Argentina</v>
      </c>
      <c r="S11" t="str">
        <f>IFERROR(__xludf.DUMMYFUNCTION("""COMPUTED_VALUE"""),"Juan B, Justo 415, Villa Mercedes, Departamento Godoy Cruz, Mendoza, AR")</f>
        <v>Juan B, Justo 415, Villa Mercedes, Departamento Godoy Cruz, Mendoza, AR</v>
      </c>
    </row>
    <row r="12">
      <c r="A12" s="1">
        <v>33.0</v>
      </c>
      <c r="B12" s="1" t="s">
        <v>12</v>
      </c>
      <c r="C12" s="1">
        <v>7.0</v>
      </c>
      <c r="D12" s="1" t="s">
        <v>3007</v>
      </c>
      <c r="E12" s="1" t="s">
        <v>2882</v>
      </c>
      <c r="F12" s="1" t="s">
        <v>2978</v>
      </c>
      <c r="G12" s="1" t="s">
        <v>3009</v>
      </c>
      <c r="H12" s="1" t="s">
        <v>3009</v>
      </c>
      <c r="I12" s="1" t="s">
        <v>21</v>
      </c>
      <c r="J12" s="1" t="s">
        <v>3011</v>
      </c>
      <c r="K12">
        <v>-69.012587</v>
      </c>
      <c r="L12">
        <v>-33.571657</v>
      </c>
      <c r="O12" s="1" t="s">
        <v>3013</v>
      </c>
      <c r="P12">
        <f t="shared" si="1"/>
        <v>-33.571657</v>
      </c>
      <c r="Q12">
        <f>IFERROR(__xludf.DUMMYFUNCTION("""COMPUTED_VALUE"""),-69.012587)</f>
        <v>-69.012587</v>
      </c>
      <c r="R12" t="str">
        <f>IFERROR(__xludf.DUMMYFUNCTION("""COMPUTED_VALUE"""),"Juan B, Justo 639, Mendoza , Argentina")</f>
        <v>Juan B, Justo 639, Mendoza , Argentina</v>
      </c>
      <c r="S12" t="str">
        <f>IFERROR(__xludf.DUMMYFUNCTION("""COMPUTED_VALUE"""),"Juan B, Justo, Tunuyán, Distrito Ciudad de Tunuyán, Mendoza, AR")</f>
        <v>Juan B, Justo, Tunuyán, Distrito Ciudad de Tunuyán, Mendoza, AR</v>
      </c>
    </row>
    <row r="13">
      <c r="A13" s="1">
        <v>47.0</v>
      </c>
      <c r="B13" s="1" t="s">
        <v>12</v>
      </c>
      <c r="C13" s="1">
        <v>9.0</v>
      </c>
      <c r="D13" s="1" t="s">
        <v>3024</v>
      </c>
      <c r="E13" s="1" t="s">
        <v>2882</v>
      </c>
      <c r="F13" s="1" t="s">
        <v>2978</v>
      </c>
      <c r="G13" s="1" t="s">
        <v>3026</v>
      </c>
      <c r="H13" s="1" t="s">
        <v>3026</v>
      </c>
      <c r="I13" s="1" t="s">
        <v>21</v>
      </c>
      <c r="J13" s="1" t="s">
        <v>3027</v>
      </c>
      <c r="K13">
        <v>-69.012587</v>
      </c>
      <c r="L13">
        <v>-33.571657</v>
      </c>
      <c r="O13" s="1" t="s">
        <v>3028</v>
      </c>
      <c r="P13">
        <f t="shared" si="1"/>
        <v>-33.571657</v>
      </c>
      <c r="Q13">
        <f>IFERROR(__xludf.DUMMYFUNCTION("""COMPUTED_VALUE"""),-69.012587)</f>
        <v>-69.012587</v>
      </c>
      <c r="R13" t="str">
        <f>IFERROR(__xludf.DUMMYFUNCTION("""COMPUTED_VALUE"""),"Juan B, Justo 836, Mendoza , Argentina")</f>
        <v>Juan B, Justo 836, Mendoza , Argentina</v>
      </c>
      <c r="S13" t="str">
        <f>IFERROR(__xludf.DUMMYFUNCTION("""COMPUTED_VALUE"""),"Juan B, Justo, Tunuyán, Distrito Ciudad de Tunuyán, Mendoza, AR")</f>
        <v>Juan B, Justo, Tunuyán, Distrito Ciudad de Tunuyán, Mendoza, AR</v>
      </c>
    </row>
    <row r="14">
      <c r="A14" s="1">
        <v>49.0</v>
      </c>
      <c r="B14" s="1" t="s">
        <v>12</v>
      </c>
      <c r="C14" s="1">
        <v>10.0</v>
      </c>
      <c r="D14" s="1" t="s">
        <v>3039</v>
      </c>
      <c r="E14" s="1" t="s">
        <v>2882</v>
      </c>
      <c r="F14" s="1" t="s">
        <v>2978</v>
      </c>
      <c r="G14" s="1" t="s">
        <v>3042</v>
      </c>
      <c r="H14" s="1" t="s">
        <v>3042</v>
      </c>
      <c r="I14" s="1" t="s">
        <v>21</v>
      </c>
      <c r="J14" s="1" t="s">
        <v>3044</v>
      </c>
      <c r="K14">
        <v>-69.012587</v>
      </c>
      <c r="L14">
        <v>-33.571657</v>
      </c>
      <c r="O14" s="1" t="s">
        <v>3045</v>
      </c>
      <c r="P14">
        <f t="shared" si="1"/>
        <v>-33.571657</v>
      </c>
      <c r="Q14">
        <f>IFERROR(__xludf.DUMMYFUNCTION("""COMPUTED_VALUE"""),-69.012587)</f>
        <v>-69.012587</v>
      </c>
      <c r="R14" t="str">
        <f>IFERROR(__xludf.DUMMYFUNCTION("""COMPUTED_VALUE"""),"Juan B, Justo 614, Mendoza , Argentina")</f>
        <v>Juan B, Justo 614, Mendoza , Argentina</v>
      </c>
      <c r="S14" t="str">
        <f>IFERROR(__xludf.DUMMYFUNCTION("""COMPUTED_VALUE"""),"Juan B, Justo, Tunuyán, Distrito Ciudad de Tunuyán, Mendoza, AR")</f>
        <v>Juan B, Justo, Tunuyán, Distrito Ciudad de Tunuyán, Mendoza, AR</v>
      </c>
    </row>
    <row r="15">
      <c r="A15" s="1">
        <v>59.0</v>
      </c>
      <c r="B15" s="1" t="s">
        <v>12</v>
      </c>
      <c r="C15" s="1">
        <v>12.0</v>
      </c>
      <c r="D15" s="1" t="s">
        <v>3058</v>
      </c>
      <c r="E15" s="1" t="s">
        <v>2882</v>
      </c>
      <c r="F15" s="1" t="s">
        <v>2978</v>
      </c>
      <c r="G15" s="1" t="s">
        <v>3060</v>
      </c>
      <c r="H15" s="1" t="s">
        <v>3060</v>
      </c>
      <c r="I15" s="1" t="s">
        <v>21</v>
      </c>
      <c r="J15" s="1" t="s">
        <v>3061</v>
      </c>
      <c r="K15">
        <v>-68.849479</v>
      </c>
      <c r="L15">
        <v>-32.906677</v>
      </c>
      <c r="O15" s="1" t="s">
        <v>3063</v>
      </c>
      <c r="P15">
        <f t="shared" si="1"/>
        <v>-32.906677</v>
      </c>
      <c r="Q15">
        <f>IFERROR(__xludf.DUMMYFUNCTION("""COMPUTED_VALUE"""),-68.849479)</f>
        <v>-68.849479</v>
      </c>
      <c r="R15" t="str">
        <f>IFERROR(__xludf.DUMMYFUNCTION("""COMPUTED_VALUE"""),"Juan B, Justo 426, Mendoza , Argentina")</f>
        <v>Juan B, Justo 426, Mendoza , Argentina</v>
      </c>
      <c r="S15" t="str">
        <f>IFERROR(__xludf.DUMMYFUNCTION("""COMPUTED_VALUE"""),"Juan B, Justo 426, Villa Mercedes, Departamento Godoy Cruz, Mendoza, AR")</f>
        <v>Juan B, Justo 426, Villa Mercedes, Departamento Godoy Cruz, Mendoza, AR</v>
      </c>
    </row>
    <row r="16">
      <c r="A16" s="1">
        <v>116.0</v>
      </c>
      <c r="B16" s="1" t="s">
        <v>29</v>
      </c>
      <c r="C16" s="1">
        <v>5.0</v>
      </c>
      <c r="D16" s="1" t="s">
        <v>3142</v>
      </c>
      <c r="E16" s="1" t="s">
        <v>2882</v>
      </c>
      <c r="F16" s="1" t="s">
        <v>2978</v>
      </c>
      <c r="G16" s="3" t="s">
        <v>3149</v>
      </c>
      <c r="H16" s="3" t="s">
        <v>3149</v>
      </c>
      <c r="I16" s="1" t="s">
        <v>21</v>
      </c>
      <c r="J16" s="1" t="s">
        <v>3155</v>
      </c>
      <c r="K16">
        <v>-67.68561</v>
      </c>
      <c r="L16">
        <v>-34.972739</v>
      </c>
      <c r="O16" s="1" t="s">
        <v>3158</v>
      </c>
      <c r="P16">
        <f t="shared" si="1"/>
        <v>-34.972739</v>
      </c>
      <c r="Q16">
        <f>IFERROR(__xludf.DUMMYFUNCTION("""COMPUTED_VALUE"""),-67.68561)</f>
        <v>-67.68561</v>
      </c>
      <c r="R16" t="str">
        <f>IFERROR(__xludf.DUMMYFUNCTION("""COMPUTED_VALUE"""),"9 de Julio 1214, Mendoza , Argentina")</f>
        <v>9 de Julio 1214, Mendoza , Argentina</v>
      </c>
      <c r="S16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17">
      <c r="A17" s="1">
        <v>117.0</v>
      </c>
      <c r="B17" s="1" t="s">
        <v>29</v>
      </c>
      <c r="C17" s="1">
        <v>5.0</v>
      </c>
      <c r="D17" s="1" t="s">
        <v>3181</v>
      </c>
      <c r="E17" s="1" t="s">
        <v>2882</v>
      </c>
      <c r="F17" s="1" t="s">
        <v>2978</v>
      </c>
      <c r="G17" s="3" t="s">
        <v>3186</v>
      </c>
      <c r="H17" s="1" t="s">
        <v>3188</v>
      </c>
      <c r="I17" s="1" t="s">
        <v>21</v>
      </c>
      <c r="J17" s="1" t="s">
        <v>3190</v>
      </c>
      <c r="K17">
        <v>-67.68561</v>
      </c>
      <c r="L17">
        <v>-34.972739</v>
      </c>
      <c r="O17" s="1" t="s">
        <v>3191</v>
      </c>
      <c r="P17">
        <f t="shared" si="1"/>
        <v>-34.972739</v>
      </c>
      <c r="Q17">
        <f>IFERROR(__xludf.DUMMYFUNCTION("""COMPUTED_VALUE"""),-67.68561)</f>
        <v>-67.68561</v>
      </c>
      <c r="R17" t="str">
        <f>IFERROR(__xludf.DUMMYFUNCTION("""COMPUTED_VALUE"""),"9 de Julio 1210, Mendoza , Argentina")</f>
        <v>9 de Julio 1210, Mendoza , Argentina</v>
      </c>
      <c r="S17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18">
      <c r="A18" s="1">
        <v>131.0</v>
      </c>
      <c r="B18" s="1" t="s">
        <v>29</v>
      </c>
      <c r="C18" s="1">
        <v>6.0</v>
      </c>
      <c r="D18" s="1" t="s">
        <v>3202</v>
      </c>
      <c r="E18" s="1" t="s">
        <v>2882</v>
      </c>
      <c r="F18" s="1" t="s">
        <v>2978</v>
      </c>
      <c r="G18" s="1" t="s">
        <v>2180</v>
      </c>
      <c r="H18" s="1" t="s">
        <v>2180</v>
      </c>
      <c r="I18" s="1" t="s">
        <v>21</v>
      </c>
      <c r="J18" s="1" t="s">
        <v>3205</v>
      </c>
      <c r="K18">
        <v>-100.445882</v>
      </c>
      <c r="L18">
        <v>39.78373</v>
      </c>
      <c r="O18" s="1" t="s">
        <v>3206</v>
      </c>
      <c r="P18">
        <f t="shared" si="1"/>
        <v>39.78373</v>
      </c>
      <c r="Q18">
        <f>IFERROR(__xludf.DUMMYFUNCTION("""COMPUTED_VALUE"""),-100.445882)</f>
        <v>-100.445882</v>
      </c>
      <c r="R18" t="str">
        <f>IFERROR(__xludf.DUMMYFUNCTION("""COMPUTED_VALUE"""),"9 de Julio 1126 Dpto 29-30-31, Mendoza , Argentina")</f>
        <v>9 de Julio 1126 Dpto 29-30-31, Mendoza , Argentina</v>
      </c>
      <c r="S18" t="str">
        <f>IFERROR(__xludf.DUMMYFUNCTION("""COMPUTED_VALUE"""),"US")</f>
        <v>US</v>
      </c>
    </row>
    <row r="19">
      <c r="A19" s="1">
        <v>141.0</v>
      </c>
      <c r="B19" s="1" t="s">
        <v>29</v>
      </c>
      <c r="C19" s="1">
        <v>6.0</v>
      </c>
      <c r="D19" s="1" t="s">
        <v>2310</v>
      </c>
      <c r="E19" s="1" t="s">
        <v>2882</v>
      </c>
      <c r="F19" s="1" t="s">
        <v>2978</v>
      </c>
      <c r="G19" s="1" t="s">
        <v>3219</v>
      </c>
      <c r="H19" s="1" t="s">
        <v>3219</v>
      </c>
      <c r="I19" s="1" t="s">
        <v>21</v>
      </c>
      <c r="J19" s="1" t="s">
        <v>3224</v>
      </c>
      <c r="K19">
        <v>-57.573144</v>
      </c>
      <c r="L19">
        <v>-37.982673</v>
      </c>
      <c r="O19" s="1" t="s">
        <v>3225</v>
      </c>
      <c r="P19">
        <f t="shared" si="1"/>
        <v>-37.982673</v>
      </c>
      <c r="Q19">
        <f>IFERROR(__xludf.DUMMYFUNCTION("""COMPUTED_VALUE"""),-57.573144)</f>
        <v>-57.573144</v>
      </c>
      <c r="R19" t="str">
        <f>IFERROR(__xludf.DUMMYFUNCTION("""COMPUTED_VALUE"""),"9 de Julio y  Sarmiento , Mendoza , Argentina")</f>
        <v>9 de Julio y  Sarmiento , Mendoza , Argentina</v>
      </c>
      <c r="S19" t="str">
        <f>IFERROR(__xludf.DUMMYFUNCTION("""COMPUTED_VALUE"""),"9 de Julio, Mar del Plata, Buenos Aires, AR")</f>
        <v>9 de Julio, Mar del Plata, Buenos Aires, AR</v>
      </c>
    </row>
    <row r="20">
      <c r="A20" s="1">
        <v>175.0</v>
      </c>
      <c r="B20" s="1" t="s">
        <v>29</v>
      </c>
      <c r="C20" s="1">
        <v>9.0</v>
      </c>
      <c r="D20" s="1" t="s">
        <v>3237</v>
      </c>
      <c r="E20" s="1" t="s">
        <v>2882</v>
      </c>
      <c r="F20" s="1" t="s">
        <v>2978</v>
      </c>
      <c r="G20" s="3" t="s">
        <v>2295</v>
      </c>
      <c r="H20" s="3" t="s">
        <v>2295</v>
      </c>
      <c r="I20" s="1" t="s">
        <v>21</v>
      </c>
      <c r="J20" s="1" t="s">
        <v>3248</v>
      </c>
      <c r="K20">
        <v>-67.68561</v>
      </c>
      <c r="L20">
        <v>-34.972739</v>
      </c>
      <c r="O20" s="1" t="s">
        <v>3250</v>
      </c>
      <c r="P20">
        <f t="shared" si="1"/>
        <v>-34.972739</v>
      </c>
      <c r="Q20">
        <f>IFERROR(__xludf.DUMMYFUNCTION("""COMPUTED_VALUE"""),-67.68561)</f>
        <v>-67.68561</v>
      </c>
      <c r="R20" t="str">
        <f>IFERROR(__xludf.DUMMYFUNCTION("""COMPUTED_VALUE"""),"9 de julio 907, Mendoza , Argentina")</f>
        <v>9 de julio 907, Mendoza , Argentina</v>
      </c>
      <c r="S20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1">
      <c r="A21" s="1">
        <v>176.0</v>
      </c>
      <c r="B21" s="1" t="s">
        <v>29</v>
      </c>
      <c r="C21" s="1">
        <v>9.0</v>
      </c>
      <c r="D21" s="1" t="s">
        <v>2336</v>
      </c>
      <c r="E21" s="1" t="s">
        <v>2882</v>
      </c>
      <c r="F21" s="1" t="s">
        <v>2978</v>
      </c>
      <c r="G21" s="3" t="s">
        <v>2208</v>
      </c>
      <c r="H21" s="3" t="s">
        <v>2208</v>
      </c>
      <c r="I21" s="1" t="s">
        <v>21</v>
      </c>
      <c r="J21" s="1" t="s">
        <v>3280</v>
      </c>
      <c r="K21">
        <v>-67.68561</v>
      </c>
      <c r="L21">
        <v>-34.972739</v>
      </c>
      <c r="O21" s="1" t="s">
        <v>3283</v>
      </c>
      <c r="P21">
        <f t="shared" si="1"/>
        <v>-34.972739</v>
      </c>
      <c r="Q21">
        <f>IFERROR(__xludf.DUMMYFUNCTION("""COMPUTED_VALUE"""),-67.68561)</f>
        <v>-67.68561</v>
      </c>
      <c r="R21" t="str">
        <f>IFERROR(__xludf.DUMMYFUNCTION("""COMPUTED_VALUE"""),"9 de julio 917, Mendoza , Argentina")</f>
        <v>9 de julio 917, Mendoza , Argentina</v>
      </c>
      <c r="S21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2">
      <c r="A22" s="1">
        <v>248.0</v>
      </c>
      <c r="B22" s="1" t="s">
        <v>29</v>
      </c>
      <c r="C22" s="1">
        <v>15.0</v>
      </c>
      <c r="D22" s="1" t="s">
        <v>3297</v>
      </c>
      <c r="E22" s="1" t="s">
        <v>2882</v>
      </c>
      <c r="F22" s="1" t="s">
        <v>2978</v>
      </c>
      <c r="G22" s="3" t="s">
        <v>3300</v>
      </c>
      <c r="H22" s="3" t="s">
        <v>3300</v>
      </c>
      <c r="I22" s="1" t="s">
        <v>21</v>
      </c>
      <c r="J22" s="1" t="s">
        <v>3302</v>
      </c>
      <c r="K22">
        <v>-67.68561</v>
      </c>
      <c r="L22">
        <v>-34.972739</v>
      </c>
      <c r="O22" s="1" t="s">
        <v>3304</v>
      </c>
      <c r="P22">
        <f t="shared" si="1"/>
        <v>-34.972739</v>
      </c>
      <c r="Q22">
        <f>IFERROR(__xludf.DUMMYFUNCTION("""COMPUTED_VALUE"""),-67.68561)</f>
        <v>-67.68561</v>
      </c>
      <c r="R22" t="str">
        <f>IFERROR(__xludf.DUMMYFUNCTION("""COMPUTED_VALUE"""),"9 de Julio 1597, Mendoza , Argentina")</f>
        <v>9 de Julio 1597, Mendoza , Argentina</v>
      </c>
      <c r="S22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3">
      <c r="A23" s="1">
        <v>267.0</v>
      </c>
      <c r="B23" s="1" t="s">
        <v>51</v>
      </c>
      <c r="C23" s="1">
        <v>1.0</v>
      </c>
      <c r="D23" s="1" t="s">
        <v>3321</v>
      </c>
      <c r="E23" s="1" t="s">
        <v>2882</v>
      </c>
      <c r="F23" s="1" t="s">
        <v>2978</v>
      </c>
      <c r="G23" s="1" t="s">
        <v>3323</v>
      </c>
      <c r="H23" s="1" t="s">
        <v>3323</v>
      </c>
      <c r="I23" s="1" t="s">
        <v>21</v>
      </c>
      <c r="J23" s="1" t="s">
        <v>3325</v>
      </c>
      <c r="K23">
        <v>-67.69702</v>
      </c>
      <c r="L23">
        <v>-34.983771</v>
      </c>
      <c r="O23" s="1" t="s">
        <v>3326</v>
      </c>
      <c r="P23">
        <f t="shared" si="1"/>
        <v>-34.983771</v>
      </c>
      <c r="Q23">
        <f>IFERROR(__xludf.DUMMYFUNCTION("""COMPUTED_VALUE"""),-67.69702)</f>
        <v>-67.69702</v>
      </c>
      <c r="R23" t="str">
        <f>IFERROR(__xludf.DUMMYFUNCTION("""COMPUTED_VALUE"""),"Sarmiento 25, Mendoza , Argentina")</f>
        <v>Sarmiento 25, Mendoza , Argentina</v>
      </c>
      <c r="S23" t="str">
        <f>IFERROR(__xludf.DUMMYFUNCTION("""COMPUTED_VALUE"""),"Sarmiento, General Alvear, Distrito Ciudad de General Alvear, Mendoza, AR")</f>
        <v>Sarmiento, General Alvear, Distrito Ciudad de General Alvear, Mendoza, AR</v>
      </c>
    </row>
    <row r="24">
      <c r="A24" s="1">
        <v>271.0</v>
      </c>
      <c r="B24" s="1" t="s">
        <v>51</v>
      </c>
      <c r="C24" s="1">
        <v>1.0</v>
      </c>
      <c r="D24" s="1" t="s">
        <v>3336</v>
      </c>
      <c r="E24" s="1" t="s">
        <v>2882</v>
      </c>
      <c r="F24" s="1" t="s">
        <v>2978</v>
      </c>
      <c r="G24" s="1" t="s">
        <v>3337</v>
      </c>
      <c r="H24" s="1" t="s">
        <v>3337</v>
      </c>
      <c r="I24" s="1" t="s">
        <v>21</v>
      </c>
      <c r="J24" s="1" t="s">
        <v>3341</v>
      </c>
      <c r="K24">
        <v>-67.69702</v>
      </c>
      <c r="L24">
        <v>-34.983771</v>
      </c>
      <c r="O24" s="1" t="s">
        <v>3343</v>
      </c>
      <c r="P24">
        <f t="shared" si="1"/>
        <v>-34.983771</v>
      </c>
      <c r="Q24">
        <f>IFERROR(__xludf.DUMMYFUNCTION("""COMPUTED_VALUE"""),-67.69702)</f>
        <v>-67.69702</v>
      </c>
      <c r="R24" t="str">
        <f>IFERROR(__xludf.DUMMYFUNCTION("""COMPUTED_VALUE"""),"Sarmiento 55, Mendoza , Argentina")</f>
        <v>Sarmiento 55, Mendoza , Argentina</v>
      </c>
      <c r="S24" t="str">
        <f>IFERROR(__xludf.DUMMYFUNCTION("""COMPUTED_VALUE"""),"Sarmiento, General Alvear, Distrito Ciudad de General Alvear, Mendoza, AR")</f>
        <v>Sarmiento, General Alvear, Distrito Ciudad de General Alvear, Mendoza, AR</v>
      </c>
    </row>
    <row r="25">
      <c r="A25" s="1">
        <v>272.0</v>
      </c>
      <c r="B25" s="1" t="s">
        <v>51</v>
      </c>
      <c r="C25" s="1">
        <v>1.0</v>
      </c>
      <c r="D25" s="1" t="s">
        <v>3354</v>
      </c>
      <c r="E25" s="1" t="s">
        <v>2882</v>
      </c>
      <c r="F25" s="1" t="s">
        <v>2978</v>
      </c>
      <c r="G25" s="1" t="s">
        <v>3355</v>
      </c>
      <c r="H25" s="1" t="s">
        <v>3355</v>
      </c>
      <c r="I25" s="1" t="s">
        <v>21</v>
      </c>
      <c r="J25" s="1" t="s">
        <v>3358</v>
      </c>
      <c r="K25">
        <v>-67.69702</v>
      </c>
      <c r="L25">
        <v>-34.983771</v>
      </c>
      <c r="O25" s="1" t="s">
        <v>3359</v>
      </c>
      <c r="P25">
        <f t="shared" si="1"/>
        <v>-34.983771</v>
      </c>
      <c r="Q25">
        <f>IFERROR(__xludf.DUMMYFUNCTION("""COMPUTED_VALUE"""),-67.69702)</f>
        <v>-67.69702</v>
      </c>
      <c r="R25" t="str">
        <f>IFERROR(__xludf.DUMMYFUNCTION("""COMPUTED_VALUE"""),"Sarmiento 59, Mendoza , Argentina")</f>
        <v>Sarmiento 59, Mendoza , Argentina</v>
      </c>
      <c r="S25" t="str">
        <f>IFERROR(__xludf.DUMMYFUNCTION("""COMPUTED_VALUE"""),"Sarmiento, General Alvear, Distrito Ciudad de General Alvear, Mendoza, AR")</f>
        <v>Sarmiento, General Alvear, Distrito Ciudad de General Alvear, Mendoza, AR</v>
      </c>
    </row>
    <row r="26">
      <c r="A26" s="1">
        <v>273.0</v>
      </c>
      <c r="B26" s="1" t="s">
        <v>51</v>
      </c>
      <c r="C26" s="1">
        <v>1.0</v>
      </c>
      <c r="D26" s="1" t="s">
        <v>1188</v>
      </c>
      <c r="E26" s="1" t="s">
        <v>2882</v>
      </c>
      <c r="F26" s="1" t="s">
        <v>2978</v>
      </c>
      <c r="G26" s="1" t="s">
        <v>3386</v>
      </c>
      <c r="H26" s="1" t="s">
        <v>3386</v>
      </c>
      <c r="I26" s="1" t="s">
        <v>21</v>
      </c>
      <c r="J26" s="1" t="s">
        <v>3387</v>
      </c>
      <c r="K26">
        <v>-67.69702</v>
      </c>
      <c r="L26">
        <v>-34.983771</v>
      </c>
      <c r="O26" s="1" t="s">
        <v>3389</v>
      </c>
      <c r="P26">
        <f t="shared" si="1"/>
        <v>-34.983771</v>
      </c>
      <c r="Q26">
        <f>IFERROR(__xludf.DUMMYFUNCTION("""COMPUTED_VALUE"""),-67.69702)</f>
        <v>-67.69702</v>
      </c>
      <c r="R26" t="str">
        <f>IFERROR(__xludf.DUMMYFUNCTION("""COMPUTED_VALUE"""),"Sarmiento 75, Mendoza , Argentina")</f>
        <v>Sarmiento 75, Mendoza , Argentina</v>
      </c>
      <c r="S26" t="str">
        <f>IFERROR(__xludf.DUMMYFUNCTION("""COMPUTED_VALUE"""),"Sarmiento, General Alvear, Distrito Ciudad de General Alvear, Mendoza, AR")</f>
        <v>Sarmiento, General Alvear, Distrito Ciudad de General Alvear, Mendoza, AR</v>
      </c>
    </row>
    <row r="27">
      <c r="A27" s="1">
        <v>275.0</v>
      </c>
      <c r="B27" s="1" t="s">
        <v>51</v>
      </c>
      <c r="C27" s="1">
        <v>1.0</v>
      </c>
      <c r="D27" s="1" t="s">
        <v>995</v>
      </c>
      <c r="E27" s="1" t="s">
        <v>2882</v>
      </c>
      <c r="F27" s="1" t="s">
        <v>2978</v>
      </c>
      <c r="G27" s="1" t="s">
        <v>3402</v>
      </c>
      <c r="H27" s="1" t="s">
        <v>3402</v>
      </c>
      <c r="I27" s="1" t="s">
        <v>21</v>
      </c>
      <c r="J27" s="1" t="s">
        <v>3405</v>
      </c>
      <c r="K27">
        <v>-67.69702</v>
      </c>
      <c r="L27">
        <v>-34.983771</v>
      </c>
      <c r="O27" s="1" t="s">
        <v>3407</v>
      </c>
      <c r="P27">
        <f t="shared" si="1"/>
        <v>-34.983771</v>
      </c>
      <c r="Q27">
        <f>IFERROR(__xludf.DUMMYFUNCTION("""COMPUTED_VALUE"""),-67.69702)</f>
        <v>-67.69702</v>
      </c>
      <c r="R27" t="str">
        <f>IFERROR(__xludf.DUMMYFUNCTION("""COMPUTED_VALUE"""),"Sarmiento 78, Mendoza , Argentina")</f>
        <v>Sarmiento 78, Mendoza , Argentina</v>
      </c>
      <c r="S27" t="str">
        <f>IFERROR(__xludf.DUMMYFUNCTION("""COMPUTED_VALUE"""),"Sarmiento, General Alvear, Distrito Ciudad de General Alvear, Mendoza, AR")</f>
        <v>Sarmiento, General Alvear, Distrito Ciudad de General Alvear, Mendoza, AR</v>
      </c>
    </row>
    <row r="28">
      <c r="A28" s="1">
        <v>281.0</v>
      </c>
      <c r="B28" s="1" t="s">
        <v>51</v>
      </c>
      <c r="C28" s="1">
        <v>2.0</v>
      </c>
      <c r="D28" s="1" t="s">
        <v>3421</v>
      </c>
      <c r="E28" s="1" t="s">
        <v>2882</v>
      </c>
      <c r="F28" s="1" t="s">
        <v>2978</v>
      </c>
      <c r="G28" s="1" t="s">
        <v>3423</v>
      </c>
      <c r="H28" s="1" t="s">
        <v>3423</v>
      </c>
      <c r="I28" s="1" t="s">
        <v>21</v>
      </c>
      <c r="J28" s="1" t="s">
        <v>3425</v>
      </c>
      <c r="K28">
        <v>-67.69702</v>
      </c>
      <c r="L28">
        <v>-34.983771</v>
      </c>
      <c r="O28" s="1" t="s">
        <v>3428</v>
      </c>
      <c r="P28">
        <f t="shared" si="1"/>
        <v>-34.983771</v>
      </c>
      <c r="Q28">
        <f>IFERROR(__xludf.DUMMYFUNCTION("""COMPUTED_VALUE"""),-67.69702)</f>
        <v>-67.69702</v>
      </c>
      <c r="R28" t="str">
        <f>IFERROR(__xludf.DUMMYFUNCTION("""COMPUTED_VALUE"""),"Sarmiento 111, Mendoza , Argentina")</f>
        <v>Sarmiento 111, Mendoza , Argentina</v>
      </c>
      <c r="S28" t="str">
        <f>IFERROR(__xludf.DUMMYFUNCTION("""COMPUTED_VALUE"""),"Sarmiento, General Alvear, Distrito Ciudad de General Alvear, Mendoza, AR")</f>
        <v>Sarmiento, General Alvear, Distrito Ciudad de General Alvear, Mendoza, AR</v>
      </c>
    </row>
    <row r="29">
      <c r="A29" s="1">
        <v>290.0</v>
      </c>
      <c r="B29" s="1" t="s">
        <v>51</v>
      </c>
      <c r="C29" s="1">
        <v>3.0</v>
      </c>
      <c r="D29" s="1" t="s">
        <v>2336</v>
      </c>
      <c r="E29" s="1" t="s">
        <v>2882</v>
      </c>
      <c r="F29" s="1" t="s">
        <v>2978</v>
      </c>
      <c r="G29" s="1" t="s">
        <v>3448</v>
      </c>
      <c r="H29" s="1" t="s">
        <v>3448</v>
      </c>
      <c r="I29" s="1" t="s">
        <v>21</v>
      </c>
      <c r="J29" s="1" t="s">
        <v>3451</v>
      </c>
      <c r="K29">
        <v>-67.69702</v>
      </c>
      <c r="L29">
        <v>-34.983771</v>
      </c>
      <c r="O29" s="1" t="s">
        <v>3455</v>
      </c>
      <c r="P29">
        <f t="shared" si="1"/>
        <v>-34.983771</v>
      </c>
      <c r="Q29">
        <f>IFERROR(__xludf.DUMMYFUNCTION("""COMPUTED_VALUE"""),-67.69702)</f>
        <v>-67.69702</v>
      </c>
      <c r="R29" t="str">
        <f>IFERROR(__xludf.DUMMYFUNCTION("""COMPUTED_VALUE"""),"Sarmiento 219, Mendoza , Argentina")</f>
        <v>Sarmiento 219, Mendoza , Argentina</v>
      </c>
      <c r="S29" t="str">
        <f>IFERROR(__xludf.DUMMYFUNCTION("""COMPUTED_VALUE"""),"Sarmiento, General Alvear, Distrito Ciudad de General Alvear, Mendoza, AR")</f>
        <v>Sarmiento, General Alvear, Distrito Ciudad de General Alvear, Mendoza, AR</v>
      </c>
    </row>
    <row r="30">
      <c r="A30" s="1">
        <v>303.0</v>
      </c>
      <c r="B30" s="1" t="s">
        <v>51</v>
      </c>
      <c r="C30" s="1">
        <v>4.0</v>
      </c>
      <c r="D30" s="1" t="s">
        <v>3466</v>
      </c>
      <c r="E30" s="1" t="s">
        <v>2882</v>
      </c>
      <c r="F30" s="1" t="s">
        <v>2978</v>
      </c>
      <c r="G30" s="1" t="s">
        <v>3473</v>
      </c>
      <c r="H30" s="1" t="s">
        <v>3473</v>
      </c>
      <c r="I30" s="1" t="s">
        <v>21</v>
      </c>
      <c r="J30" s="1" t="s">
        <v>3476</v>
      </c>
      <c r="K30">
        <v>-67.69702</v>
      </c>
      <c r="L30">
        <v>-34.983771</v>
      </c>
      <c r="O30" s="1" t="s">
        <v>3479</v>
      </c>
      <c r="P30">
        <f t="shared" si="1"/>
        <v>-34.983771</v>
      </c>
      <c r="Q30">
        <f>IFERROR(__xludf.DUMMYFUNCTION("""COMPUTED_VALUE"""),-67.69702)</f>
        <v>-67.69702</v>
      </c>
      <c r="R30" t="str">
        <f>IFERROR(__xludf.DUMMYFUNCTION("""COMPUTED_VALUE"""),"Sarmiento 256, Mendoza , Argentina")</f>
        <v>Sarmiento 256, Mendoza , Argentina</v>
      </c>
      <c r="S30" t="str">
        <f>IFERROR(__xludf.DUMMYFUNCTION("""COMPUTED_VALUE"""),"Sarmiento, General Alvear, Distrito Ciudad de General Alvear, Mendoza, AR")</f>
        <v>Sarmiento, General Alvear, Distrito Ciudad de General Alvear, Mendoza, AR</v>
      </c>
    </row>
    <row r="31">
      <c r="A31" s="1">
        <v>309.0</v>
      </c>
      <c r="B31" s="1" t="s">
        <v>51</v>
      </c>
      <c r="C31" s="1">
        <v>4.0</v>
      </c>
      <c r="D31" s="1" t="s">
        <v>3491</v>
      </c>
      <c r="E31" s="1" t="s">
        <v>2882</v>
      </c>
      <c r="F31" s="1" t="s">
        <v>2978</v>
      </c>
      <c r="G31" s="1" t="s">
        <v>3493</v>
      </c>
      <c r="H31" s="1" t="s">
        <v>3495</v>
      </c>
      <c r="I31" s="1" t="s">
        <v>21</v>
      </c>
      <c r="J31" s="1" t="s">
        <v>3496</v>
      </c>
      <c r="K31">
        <v>-67.69702</v>
      </c>
      <c r="L31">
        <v>-34.983771</v>
      </c>
      <c r="O31" s="1" t="s">
        <v>3497</v>
      </c>
      <c r="P31">
        <f t="shared" si="1"/>
        <v>-34.983771</v>
      </c>
      <c r="Q31">
        <f>IFERROR(__xludf.DUMMYFUNCTION("""COMPUTED_VALUE"""),-67.69702)</f>
        <v>-67.69702</v>
      </c>
      <c r="R31" t="str">
        <f>IFERROR(__xludf.DUMMYFUNCTION("""COMPUTED_VALUE"""),"Sarmiento 220, Mendoza , Argentina")</f>
        <v>Sarmiento 220, Mendoza , Argentina</v>
      </c>
      <c r="S31" t="str">
        <f>IFERROR(__xludf.DUMMYFUNCTION("""COMPUTED_VALUE"""),"Sarmiento, General Alvear, Distrito Ciudad de General Alvear, Mendoza, AR")</f>
        <v>Sarmiento, General Alvear, Distrito Ciudad de General Alvear, Mendoza, AR</v>
      </c>
    </row>
    <row r="32">
      <c r="A32" s="1">
        <v>319.0</v>
      </c>
      <c r="B32" s="1" t="s">
        <v>51</v>
      </c>
      <c r="C32" s="1">
        <v>5.0</v>
      </c>
      <c r="D32" s="1" t="s">
        <v>3504</v>
      </c>
      <c r="E32" s="1" t="s">
        <v>2882</v>
      </c>
      <c r="F32" s="1" t="s">
        <v>2978</v>
      </c>
      <c r="G32" s="1" t="s">
        <v>3505</v>
      </c>
      <c r="H32" s="1" t="s">
        <v>3505</v>
      </c>
      <c r="I32" s="1" t="s">
        <v>21</v>
      </c>
      <c r="J32" s="1" t="s">
        <v>3506</v>
      </c>
      <c r="K32">
        <v>-67.69702</v>
      </c>
      <c r="L32">
        <v>-34.983771</v>
      </c>
      <c r="O32" s="1" t="s">
        <v>3507</v>
      </c>
      <c r="P32">
        <f t="shared" si="1"/>
        <v>-34.983771</v>
      </c>
      <c r="Q32">
        <f>IFERROR(__xludf.DUMMYFUNCTION("""COMPUTED_VALUE"""),-67.69702)</f>
        <v>-67.69702</v>
      </c>
      <c r="R32" t="str">
        <f>IFERROR(__xludf.DUMMYFUNCTION("""COMPUTED_VALUE"""),"Sarmiento 114, Mendoza , Argentina")</f>
        <v>Sarmiento 114, Mendoza , Argentina</v>
      </c>
      <c r="S32" t="str">
        <f>IFERROR(__xludf.DUMMYFUNCTION("""COMPUTED_VALUE"""),"Sarmiento, General Alvear, Distrito Ciudad de General Alvear, Mendoza, AR")</f>
        <v>Sarmiento, General Alvear, Distrito Ciudad de General Alvear, Mendoza, AR</v>
      </c>
    </row>
    <row r="33">
      <c r="A33" s="1">
        <v>322.0</v>
      </c>
      <c r="B33" s="1" t="s">
        <v>51</v>
      </c>
      <c r="C33" s="1">
        <v>5.0</v>
      </c>
      <c r="D33" s="1" t="s">
        <v>2310</v>
      </c>
      <c r="E33" s="1" t="s">
        <v>2882</v>
      </c>
      <c r="F33" s="1" t="s">
        <v>2978</v>
      </c>
      <c r="G33" s="1" t="s">
        <v>3514</v>
      </c>
      <c r="H33" s="1" t="s">
        <v>3514</v>
      </c>
      <c r="I33" s="1" t="s">
        <v>21</v>
      </c>
      <c r="J33" s="1" t="s">
        <v>3516</v>
      </c>
      <c r="K33">
        <v>-67.69702</v>
      </c>
      <c r="L33">
        <v>-34.983771</v>
      </c>
      <c r="O33" s="1" t="s">
        <v>3517</v>
      </c>
      <c r="P33">
        <f t="shared" si="1"/>
        <v>-34.983771</v>
      </c>
      <c r="Q33">
        <f>IFERROR(__xludf.DUMMYFUNCTION("""COMPUTED_VALUE"""),-67.69702)</f>
        <v>-67.69702</v>
      </c>
      <c r="R33" t="str">
        <f>IFERROR(__xludf.DUMMYFUNCTION("""COMPUTED_VALUE"""),"Sarmiento 102, Mendoza , Argentina")</f>
        <v>Sarmiento 102, Mendoza , Argentina</v>
      </c>
      <c r="S33" t="str">
        <f>IFERROR(__xludf.DUMMYFUNCTION("""COMPUTED_VALUE"""),"Sarmiento, General Alvear, Distrito Ciudad de General Alvear, Mendoza, AR")</f>
        <v>Sarmiento, General Alvear, Distrito Ciudad de General Alvear, Mendoza, AR</v>
      </c>
    </row>
    <row r="34">
      <c r="A34" s="1">
        <v>326.0</v>
      </c>
      <c r="B34" s="1" t="s">
        <v>51</v>
      </c>
      <c r="C34" s="1">
        <v>6.0</v>
      </c>
      <c r="D34" s="1" t="s">
        <v>3524</v>
      </c>
      <c r="E34" s="1" t="s">
        <v>2882</v>
      </c>
      <c r="F34" s="1" t="s">
        <v>2978</v>
      </c>
      <c r="G34" s="1" t="s">
        <v>3525</v>
      </c>
      <c r="H34" s="1" t="s">
        <v>3525</v>
      </c>
      <c r="I34" s="1" t="s">
        <v>21</v>
      </c>
      <c r="J34" s="1" t="s">
        <v>3526</v>
      </c>
      <c r="K34">
        <v>-67.69702</v>
      </c>
      <c r="L34">
        <v>-34.983771</v>
      </c>
      <c r="O34" s="1" t="s">
        <v>3528</v>
      </c>
      <c r="P34">
        <f t="shared" si="1"/>
        <v>-34.983771</v>
      </c>
      <c r="Q34">
        <f>IFERROR(__xludf.DUMMYFUNCTION("""COMPUTED_VALUE"""),-67.69702)</f>
        <v>-67.69702</v>
      </c>
      <c r="R34" t="str">
        <f>IFERROR(__xludf.DUMMYFUNCTION("""COMPUTED_VALUE"""),"Sarmiento 68, Mendoza , Argentina")</f>
        <v>Sarmiento 68, Mendoza , Argentina</v>
      </c>
      <c r="S34" t="str">
        <f>IFERROR(__xludf.DUMMYFUNCTION("""COMPUTED_VALUE"""),"Sarmiento, General Alvear, Distrito Ciudad de General Alvear, Mendoza, AR")</f>
        <v>Sarmiento, General Alvear, Distrito Ciudad de General Alvear, Mendoza, AR</v>
      </c>
    </row>
    <row r="35">
      <c r="A35" s="1">
        <v>328.0</v>
      </c>
      <c r="B35" s="1" t="s">
        <v>51</v>
      </c>
      <c r="C35" s="1">
        <v>6.0</v>
      </c>
      <c r="D35" s="1" t="s">
        <v>3533</v>
      </c>
      <c r="E35" s="1" t="s">
        <v>2882</v>
      </c>
      <c r="F35" s="1" t="s">
        <v>2978</v>
      </c>
      <c r="G35" s="1" t="s">
        <v>3535</v>
      </c>
      <c r="H35" s="1" t="s">
        <v>3535</v>
      </c>
      <c r="I35" s="1" t="s">
        <v>21</v>
      </c>
      <c r="J35" s="1" t="s">
        <v>3537</v>
      </c>
      <c r="K35">
        <v>-67.69702</v>
      </c>
      <c r="L35">
        <v>-34.983771</v>
      </c>
      <c r="O35" s="1" t="s">
        <v>3539</v>
      </c>
      <c r="P35">
        <f t="shared" si="1"/>
        <v>-34.983771</v>
      </c>
      <c r="Q35">
        <f>IFERROR(__xludf.DUMMYFUNCTION("""COMPUTED_VALUE"""),-67.69702)</f>
        <v>-67.69702</v>
      </c>
      <c r="R35" t="str">
        <f>IFERROR(__xludf.DUMMYFUNCTION("""COMPUTED_VALUE"""),"Sarmiento 50, Mendoza , Argentina")</f>
        <v>Sarmiento 50, Mendoza , Argentina</v>
      </c>
      <c r="S35" t="str">
        <f>IFERROR(__xludf.DUMMYFUNCTION("""COMPUTED_VALUE"""),"Sarmiento, General Alvear, Distrito Ciudad de General Alvear, Mendoza, AR")</f>
        <v>Sarmiento, General Alvear, Distrito Ciudad de General Alvear, Mendoza, AR</v>
      </c>
    </row>
    <row r="36">
      <c r="A36" s="1">
        <v>330.0</v>
      </c>
      <c r="B36" s="1" t="s">
        <v>51</v>
      </c>
      <c r="C36" s="1">
        <v>6.0</v>
      </c>
      <c r="D36" s="1" t="s">
        <v>2325</v>
      </c>
      <c r="E36" s="1" t="s">
        <v>2882</v>
      </c>
      <c r="F36" s="1" t="s">
        <v>2978</v>
      </c>
      <c r="G36" s="1" t="s">
        <v>3541</v>
      </c>
      <c r="H36" s="1" t="s">
        <v>3541</v>
      </c>
      <c r="I36" s="1" t="s">
        <v>21</v>
      </c>
      <c r="J36" s="1" t="s">
        <v>3542</v>
      </c>
      <c r="K36">
        <v>-67.69702</v>
      </c>
      <c r="L36">
        <v>-34.983771</v>
      </c>
      <c r="O36" s="1" t="s">
        <v>3543</v>
      </c>
      <c r="P36">
        <f t="shared" si="1"/>
        <v>-34.983771</v>
      </c>
      <c r="Q36">
        <f>IFERROR(__xludf.DUMMYFUNCTION("""COMPUTED_VALUE"""),-67.69702)</f>
        <v>-67.69702</v>
      </c>
      <c r="R36" t="str">
        <f>IFERROR(__xludf.DUMMYFUNCTION("""COMPUTED_VALUE"""),"Sarmiento 26 y 30, Mendoza , Argentina")</f>
        <v>Sarmiento 26 y 30, Mendoza , Argentina</v>
      </c>
      <c r="S36" t="str">
        <f>IFERROR(__xludf.DUMMYFUNCTION("""COMPUTED_VALUE"""),"Sarmiento, General Alvear, Distrito Ciudad de General Alvear, Mendoza, AR")</f>
        <v>Sarmiento, General Alvear, Distrito Ciudad de General Alvear, Mendoza, AR</v>
      </c>
    </row>
    <row r="37">
      <c r="A37" s="1">
        <v>334.0</v>
      </c>
      <c r="B37" s="1" t="s">
        <v>154</v>
      </c>
      <c r="C37" s="1">
        <v>1.0</v>
      </c>
      <c r="D37" s="1" t="s">
        <v>3544</v>
      </c>
      <c r="E37" s="1" t="s">
        <v>2882</v>
      </c>
      <c r="F37" s="1" t="s">
        <v>2978</v>
      </c>
      <c r="G37" s="1" t="s">
        <v>3545</v>
      </c>
      <c r="H37" s="1" t="s">
        <v>3545</v>
      </c>
      <c r="I37" s="1" t="s">
        <v>21</v>
      </c>
      <c r="J37" s="1" t="s">
        <v>3546</v>
      </c>
      <c r="K37">
        <v>-100.445882</v>
      </c>
      <c r="L37">
        <v>39.78373</v>
      </c>
      <c r="O37" s="1" t="s">
        <v>3547</v>
      </c>
      <c r="P37">
        <f t="shared" si="1"/>
        <v>39.78373</v>
      </c>
      <c r="Q37">
        <f>IFERROR(__xludf.DUMMYFUNCTION("""COMPUTED_VALUE"""),-100.445882)</f>
        <v>-100.445882</v>
      </c>
      <c r="R37" t="str">
        <f>IFERROR(__xludf.DUMMYFUNCTION("""COMPUTED_VALUE"""),"Av, Sarmiento y 25 de Mayo , Mendoza , Argentina")</f>
        <v>Av, Sarmiento y 25 de Mayo , Mendoza , Argentina</v>
      </c>
      <c r="S37" t="str">
        <f>IFERROR(__xludf.DUMMYFUNCTION("""COMPUTED_VALUE"""),"US")</f>
        <v>US</v>
      </c>
    </row>
    <row r="38">
      <c r="A38" s="1">
        <v>335.0</v>
      </c>
      <c r="B38" s="1" t="s">
        <v>154</v>
      </c>
      <c r="C38" s="1">
        <v>2.0</v>
      </c>
      <c r="D38" s="1" t="s">
        <v>3548</v>
      </c>
      <c r="E38" s="1" t="s">
        <v>2882</v>
      </c>
      <c r="F38" s="1" t="s">
        <v>2978</v>
      </c>
      <c r="G38" s="1" t="s">
        <v>3549</v>
      </c>
      <c r="H38" s="1" t="s">
        <v>3549</v>
      </c>
      <c r="I38" s="1" t="s">
        <v>21</v>
      </c>
      <c r="J38" s="1" t="s">
        <v>3550</v>
      </c>
      <c r="K38">
        <v>-68.342578</v>
      </c>
      <c r="L38">
        <v>-34.623322</v>
      </c>
      <c r="O38" s="1" t="s">
        <v>3551</v>
      </c>
      <c r="P38">
        <f t="shared" si="1"/>
        <v>-34.623322</v>
      </c>
      <c r="Q38">
        <f>IFERROR(__xludf.DUMMYFUNCTION("""COMPUTED_VALUE"""),-68.342578)</f>
        <v>-68.342578</v>
      </c>
      <c r="R38" t="str">
        <f>IFERROR(__xludf.DUMMYFUNCTION("""COMPUTED_VALUE"""),"Av, Sarmiento 631, Mendoza , Argentina")</f>
        <v>Av, Sarmiento 631, Mendoza , Argentina</v>
      </c>
      <c r="S38" t="str">
        <f>IFERROR(__xludf.DUMMYFUNCTION("""COMPUTED_VALUE"""),"Avenida Sarmiento 631, San Rafael, Distrito Ciudad de San Rafael, Mendoza, AR")</f>
        <v>Avenida Sarmiento 631, San Rafael, Distrito Ciudad de San Rafael, Mendoza, AR</v>
      </c>
    </row>
    <row r="39">
      <c r="A39" s="1">
        <v>336.0</v>
      </c>
      <c r="B39" s="1" t="s">
        <v>154</v>
      </c>
      <c r="C39" s="1">
        <v>2.0</v>
      </c>
      <c r="D39" s="1" t="s">
        <v>3553</v>
      </c>
      <c r="E39" s="1" t="s">
        <v>2882</v>
      </c>
      <c r="F39" s="1" t="s">
        <v>2978</v>
      </c>
      <c r="G39" s="1" t="s">
        <v>3555</v>
      </c>
      <c r="H39" s="1" t="s">
        <v>3555</v>
      </c>
      <c r="I39" s="1" t="s">
        <v>21</v>
      </c>
      <c r="J39" s="1" t="s">
        <v>3557</v>
      </c>
      <c r="K39">
        <v>-68.342678</v>
      </c>
      <c r="L39">
        <v>-34.623288</v>
      </c>
      <c r="O39" s="1" t="s">
        <v>3559</v>
      </c>
      <c r="P39">
        <f t="shared" si="1"/>
        <v>-34.623288</v>
      </c>
      <c r="Q39">
        <f>IFERROR(__xludf.DUMMYFUNCTION("""COMPUTED_VALUE"""),-68.342678)</f>
        <v>-68.342678</v>
      </c>
      <c r="R39" t="str">
        <f>IFERROR(__xludf.DUMMYFUNCTION("""COMPUTED_VALUE"""),"Av, Sarmiento 641, Mendoza , Argentina")</f>
        <v>Av, Sarmiento 641, Mendoza , Argentina</v>
      </c>
      <c r="S39" t="str">
        <f>IFERROR(__xludf.DUMMYFUNCTION("""COMPUTED_VALUE"""),"Avenida Sarmiento 641, San Rafael, Distrito Ciudad de San Rafael, Mendoza, AR")</f>
        <v>Avenida Sarmiento 641, San Rafael, Distrito Ciudad de San Rafael, Mendoza, AR</v>
      </c>
    </row>
    <row r="40">
      <c r="A40" s="1">
        <v>342.0</v>
      </c>
      <c r="B40" s="1" t="s">
        <v>154</v>
      </c>
      <c r="C40" s="1">
        <v>2.0</v>
      </c>
      <c r="D40" s="1" t="s">
        <v>3560</v>
      </c>
      <c r="E40" s="1" t="s">
        <v>2882</v>
      </c>
      <c r="F40" s="1" t="s">
        <v>2978</v>
      </c>
      <c r="G40" s="1" t="s">
        <v>3561</v>
      </c>
      <c r="H40" s="1" t="s">
        <v>3562</v>
      </c>
      <c r="I40" s="1" t="s">
        <v>21</v>
      </c>
      <c r="J40" s="1" t="s">
        <v>3563</v>
      </c>
      <c r="K40">
        <v>-68.343141</v>
      </c>
      <c r="L40">
        <v>-34.623133</v>
      </c>
      <c r="O40" s="1" t="s">
        <v>3564</v>
      </c>
      <c r="P40">
        <f t="shared" si="1"/>
        <v>-34.623133</v>
      </c>
      <c r="Q40">
        <f>IFERROR(__xludf.DUMMYFUNCTION("""COMPUTED_VALUE"""),-68.343141)</f>
        <v>-68.343141</v>
      </c>
      <c r="R40" t="str">
        <f>IFERROR(__xludf.DUMMYFUNCTION("""COMPUTED_VALUE"""),"Av, Sarmiento 687, Mendoza , Argentina")</f>
        <v>Av, Sarmiento 687, Mendoza , Argentina</v>
      </c>
      <c r="S40" t="str">
        <f>IFERROR(__xludf.DUMMYFUNCTION("""COMPUTED_VALUE"""),"Avenida Sarmiento 687, San Rafael, Distrito Ciudad de San Rafael, Mendoza, AR")</f>
        <v>Avenida Sarmiento 687, San Rafael, Distrito Ciudad de San Rafael, Mendoza, AR</v>
      </c>
    </row>
    <row r="41">
      <c r="A41" s="1">
        <v>344.0</v>
      </c>
      <c r="B41" s="1" t="s">
        <v>154</v>
      </c>
      <c r="C41" s="1">
        <v>2.0</v>
      </c>
      <c r="D41" s="1" t="s">
        <v>3566</v>
      </c>
      <c r="E41" s="1" t="s">
        <v>2882</v>
      </c>
      <c r="F41" s="1" t="s">
        <v>2978</v>
      </c>
      <c r="G41" s="1" t="s">
        <v>3568</v>
      </c>
      <c r="H41" s="1" t="s">
        <v>3568</v>
      </c>
      <c r="I41" s="1" t="s">
        <v>21</v>
      </c>
      <c r="J41" s="1" t="s">
        <v>3570</v>
      </c>
      <c r="K41">
        <v>-68.343222</v>
      </c>
      <c r="L41">
        <v>-34.623106</v>
      </c>
      <c r="O41" s="1" t="s">
        <v>3571</v>
      </c>
      <c r="P41">
        <f t="shared" si="1"/>
        <v>-34.623106</v>
      </c>
      <c r="Q41">
        <f>IFERROR(__xludf.DUMMYFUNCTION("""COMPUTED_VALUE"""),-68.343222)</f>
        <v>-68.343222</v>
      </c>
      <c r="R41" t="str">
        <f>IFERROR(__xludf.DUMMYFUNCTION("""COMPUTED_VALUE"""),"Av, Sarmiento 695, Mendoza , Argentina")</f>
        <v>Av, Sarmiento 695, Mendoza , Argentina</v>
      </c>
      <c r="S41" t="str">
        <f>IFERROR(__xludf.DUMMYFUNCTION("""COMPUTED_VALUE"""),"Avenida Sarmiento 695, San Rafael, Distrito Ciudad de San Rafael, Mendoza, AR")</f>
        <v>Avenida Sarmiento 695, San Rafael, Distrito Ciudad de San Rafael, Mendoza, AR</v>
      </c>
    </row>
    <row r="42">
      <c r="A42" s="1">
        <v>345.0</v>
      </c>
      <c r="B42" s="1" t="s">
        <v>154</v>
      </c>
      <c r="C42" s="1">
        <v>3.0</v>
      </c>
      <c r="D42" s="1" t="s">
        <v>3572</v>
      </c>
      <c r="E42" s="1" t="s">
        <v>2882</v>
      </c>
      <c r="F42" s="1" t="s">
        <v>2978</v>
      </c>
      <c r="G42" s="1" t="s">
        <v>3573</v>
      </c>
      <c r="H42" s="1" t="s">
        <v>3573</v>
      </c>
      <c r="I42" s="1" t="s">
        <v>21</v>
      </c>
      <c r="J42" s="1" t="s">
        <v>3574</v>
      </c>
      <c r="K42">
        <v>-68.344217</v>
      </c>
      <c r="L42">
        <v>-34.622775</v>
      </c>
      <c r="O42" s="1" t="s">
        <v>3575</v>
      </c>
      <c r="P42">
        <f t="shared" si="1"/>
        <v>-34.622775</v>
      </c>
      <c r="Q42">
        <f>IFERROR(__xludf.DUMMYFUNCTION("""COMPUTED_VALUE"""),-68.344217)</f>
        <v>-68.344217</v>
      </c>
      <c r="R42" t="str">
        <f>IFERROR(__xludf.DUMMYFUNCTION("""COMPUTED_VALUE"""),"Av, Sarmiento 765, Mendoza , Argentina")</f>
        <v>Av, Sarmiento 765, Mendoza , Argentina</v>
      </c>
      <c r="S42" t="str">
        <f>IFERROR(__xludf.DUMMYFUNCTION("""COMPUTED_VALUE"""),"Avenida Sarmiento 765, San Rafael, Distrito Ciudad de San Rafael, Mendoza, AR")</f>
        <v>Avenida Sarmiento 765, San Rafael, Distrito Ciudad de San Rafael, Mendoza, AR</v>
      </c>
    </row>
    <row r="43">
      <c r="A43" s="1">
        <v>346.0</v>
      </c>
      <c r="B43" s="1" t="s">
        <v>154</v>
      </c>
      <c r="C43" s="1">
        <v>3.0</v>
      </c>
      <c r="D43" s="1" t="s">
        <v>3577</v>
      </c>
      <c r="E43" s="1" t="s">
        <v>2882</v>
      </c>
      <c r="F43" s="1" t="s">
        <v>2978</v>
      </c>
      <c r="G43" s="1" t="s">
        <v>3578</v>
      </c>
      <c r="H43" s="1" t="s">
        <v>3579</v>
      </c>
      <c r="I43" s="1" t="s">
        <v>21</v>
      </c>
      <c r="J43" s="1" t="s">
        <v>3580</v>
      </c>
      <c r="K43">
        <v>-68.344329</v>
      </c>
      <c r="L43">
        <v>-34.622738</v>
      </c>
      <c r="O43" s="1" t="s">
        <v>3581</v>
      </c>
      <c r="P43">
        <f t="shared" si="1"/>
        <v>-34.622738</v>
      </c>
      <c r="Q43">
        <f>IFERROR(__xludf.DUMMYFUNCTION("""COMPUTED_VALUE"""),-68.344329)</f>
        <v>-68.344329</v>
      </c>
      <c r="R43" t="str">
        <f>IFERROR(__xludf.DUMMYFUNCTION("""COMPUTED_VALUE"""),"Av, Sarmiento 777, Mendoza , Argentina")</f>
        <v>Av, Sarmiento 777, Mendoza , Argentina</v>
      </c>
      <c r="S43" t="str">
        <f>IFERROR(__xludf.DUMMYFUNCTION("""COMPUTED_VALUE"""),"Avenida Sarmiento 777, San Rafael, Distrito Ciudad de San Rafael, Mendoza, AR")</f>
        <v>Avenida Sarmiento 777, San Rafael, Distrito Ciudad de San Rafael, Mendoza, AR</v>
      </c>
    </row>
    <row r="44">
      <c r="A44" s="1">
        <v>347.0</v>
      </c>
      <c r="B44" s="1" t="s">
        <v>154</v>
      </c>
      <c r="C44" s="1">
        <v>3.0</v>
      </c>
      <c r="D44" s="1" t="s">
        <v>3583</v>
      </c>
      <c r="E44" s="1" t="s">
        <v>2882</v>
      </c>
      <c r="F44" s="1" t="s">
        <v>2978</v>
      </c>
      <c r="G44" s="1" t="s">
        <v>3585</v>
      </c>
      <c r="H44" s="1" t="s">
        <v>3585</v>
      </c>
      <c r="I44" s="1" t="s">
        <v>21</v>
      </c>
      <c r="J44" s="1" t="s">
        <v>3587</v>
      </c>
      <c r="K44">
        <v>-68.344404</v>
      </c>
      <c r="L44">
        <v>-34.622713</v>
      </c>
      <c r="O44" s="1" t="s">
        <v>3588</v>
      </c>
      <c r="P44">
        <f t="shared" si="1"/>
        <v>-34.622713</v>
      </c>
      <c r="Q44">
        <f>IFERROR(__xludf.DUMMYFUNCTION("""COMPUTED_VALUE"""),-68.344404)</f>
        <v>-68.344404</v>
      </c>
      <c r="R44" t="str">
        <f>IFERROR(__xludf.DUMMYFUNCTION("""COMPUTED_VALUE"""),"Av, Sarmiento 785, Mendoza , Argentina")</f>
        <v>Av, Sarmiento 785, Mendoza , Argentina</v>
      </c>
      <c r="S44" t="str">
        <f>IFERROR(__xludf.DUMMYFUNCTION("""COMPUTED_VALUE"""),"Avenida Sarmiento 785, San Rafael, Distrito Ciudad de San Rafael, Mendoza, AR")</f>
        <v>Avenida Sarmiento 785, San Rafael, Distrito Ciudad de San Rafael, Mendoza, AR</v>
      </c>
    </row>
    <row r="45">
      <c r="A45" s="1">
        <v>348.0</v>
      </c>
      <c r="B45" s="1" t="s">
        <v>154</v>
      </c>
      <c r="C45" s="1">
        <v>3.0</v>
      </c>
      <c r="D45" s="1" t="s">
        <v>3589</v>
      </c>
      <c r="E45" s="1" t="s">
        <v>2882</v>
      </c>
      <c r="F45" s="1" t="s">
        <v>2978</v>
      </c>
      <c r="G45" s="1" t="s">
        <v>3590</v>
      </c>
      <c r="H45" s="1" t="s">
        <v>3590</v>
      </c>
      <c r="I45" s="1" t="s">
        <v>21</v>
      </c>
      <c r="J45" s="1" t="s">
        <v>3591</v>
      </c>
      <c r="K45">
        <v>-68.344516</v>
      </c>
      <c r="L45">
        <v>-34.622675</v>
      </c>
      <c r="O45" s="1" t="s">
        <v>3592</v>
      </c>
      <c r="P45">
        <f t="shared" si="1"/>
        <v>-34.622675</v>
      </c>
      <c r="Q45">
        <f>IFERROR(__xludf.DUMMYFUNCTION("""COMPUTED_VALUE"""),-68.344516)</f>
        <v>-68.344516</v>
      </c>
      <c r="R45" t="str">
        <f>IFERROR(__xludf.DUMMYFUNCTION("""COMPUTED_VALUE"""),"Av, Sarmiento 797, Mendoza , Argentina")</f>
        <v>Av, Sarmiento 797, Mendoza , Argentina</v>
      </c>
      <c r="S45" t="str">
        <f>IFERROR(__xludf.DUMMYFUNCTION("""COMPUTED_VALUE"""),"Avenida Sarmiento 797, San Rafael, Distrito Ciudad de San Rafael, Mendoza, AR")</f>
        <v>Avenida Sarmiento 797, San Rafael, Distrito Ciudad de San Rafael, Mendoza, AR</v>
      </c>
    </row>
    <row r="46">
      <c r="A46" s="1">
        <v>351.0</v>
      </c>
      <c r="B46" s="1" t="s">
        <v>154</v>
      </c>
      <c r="C46" s="1">
        <v>4.0</v>
      </c>
      <c r="D46" s="1" t="s">
        <v>3598</v>
      </c>
      <c r="E46" s="1" t="s">
        <v>2882</v>
      </c>
      <c r="F46" s="1" t="s">
        <v>2978</v>
      </c>
      <c r="G46" s="1" t="s">
        <v>3599</v>
      </c>
      <c r="H46" s="1" t="s">
        <v>3600</v>
      </c>
      <c r="I46" s="1" t="s">
        <v>21</v>
      </c>
      <c r="J46" s="1" t="s">
        <v>3601</v>
      </c>
      <c r="K46">
        <v>-68.344322</v>
      </c>
      <c r="L46">
        <v>-34.622557</v>
      </c>
      <c r="O46" s="1" t="s">
        <v>3602</v>
      </c>
      <c r="P46">
        <f t="shared" si="1"/>
        <v>-34.622557</v>
      </c>
      <c r="Q46">
        <f>IFERROR(__xludf.DUMMYFUNCTION("""COMPUTED_VALUE"""),-68.344322)</f>
        <v>-68.344322</v>
      </c>
      <c r="R46" t="str">
        <f>IFERROR(__xludf.DUMMYFUNCTION("""COMPUTED_VALUE"""),"Av, Sarmiento 786, Mendoza , Argentina")</f>
        <v>Av, Sarmiento 786, Mendoza , Argentina</v>
      </c>
      <c r="S46" t="str">
        <f>IFERROR(__xludf.DUMMYFUNCTION("""COMPUTED_VALUE"""),"Avenida Sarmiento 786, San Rafael, Distrito Ciudad de San Rafael, Mendoza, AR")</f>
        <v>Avenida Sarmiento 786, San Rafael, Distrito Ciudad de San Rafael, Mendoza, AR</v>
      </c>
    </row>
    <row r="47">
      <c r="A47" s="1">
        <v>352.0</v>
      </c>
      <c r="B47" s="1" t="s">
        <v>154</v>
      </c>
      <c r="C47" s="1">
        <v>4.0</v>
      </c>
      <c r="D47" s="1" t="s">
        <v>3610</v>
      </c>
      <c r="E47" s="1" t="s">
        <v>2882</v>
      </c>
      <c r="F47" s="1" t="s">
        <v>2978</v>
      </c>
      <c r="G47" s="1" t="s">
        <v>3611</v>
      </c>
      <c r="H47" s="1" t="s">
        <v>3611</v>
      </c>
      <c r="I47" s="1" t="s">
        <v>21</v>
      </c>
      <c r="J47" s="1" t="s">
        <v>3612</v>
      </c>
      <c r="K47">
        <v>-68.344083</v>
      </c>
      <c r="L47">
        <v>-34.622645</v>
      </c>
      <c r="O47" s="1" t="s">
        <v>3614</v>
      </c>
      <c r="P47">
        <f t="shared" si="1"/>
        <v>-34.622645</v>
      </c>
      <c r="Q47">
        <f>IFERROR(__xludf.DUMMYFUNCTION("""COMPUTED_VALUE"""),-68.344083)</f>
        <v>-68.344083</v>
      </c>
      <c r="R47" t="str">
        <f>IFERROR(__xludf.DUMMYFUNCTION("""COMPUTED_VALUE"""),"Av, Sarmiento 762, Mendoza , Argentina")</f>
        <v>Av, Sarmiento 762, Mendoza , Argentina</v>
      </c>
      <c r="S47" t="str">
        <f>IFERROR(__xludf.DUMMYFUNCTION("""COMPUTED_VALUE"""),"Avenida Sarmiento 762, San Rafael, Distrito Ciudad de San Rafael, Mendoza, AR")</f>
        <v>Avenida Sarmiento 762, San Rafael, Distrito Ciudad de San Rafael, Mendoza, AR</v>
      </c>
    </row>
    <row r="48">
      <c r="A48" s="1">
        <v>357.0</v>
      </c>
      <c r="B48" s="1" t="s">
        <v>154</v>
      </c>
      <c r="C48" s="1">
        <v>5.0</v>
      </c>
      <c r="D48" s="1" t="s">
        <v>3617</v>
      </c>
      <c r="E48" s="1" t="s">
        <v>2882</v>
      </c>
      <c r="F48" s="1" t="s">
        <v>2978</v>
      </c>
      <c r="G48" s="1" t="s">
        <v>3431</v>
      </c>
      <c r="H48" s="1" t="s">
        <v>3431</v>
      </c>
      <c r="I48" s="1" t="s">
        <v>21</v>
      </c>
      <c r="J48" s="1" t="s">
        <v>3618</v>
      </c>
      <c r="K48">
        <v>-68.343195</v>
      </c>
      <c r="L48">
        <v>-34.622966</v>
      </c>
      <c r="O48" s="1" t="s">
        <v>3619</v>
      </c>
      <c r="P48">
        <f t="shared" si="1"/>
        <v>-34.622966</v>
      </c>
      <c r="Q48">
        <f>IFERROR(__xludf.DUMMYFUNCTION("""COMPUTED_VALUE"""),-68.343195)</f>
        <v>-68.343195</v>
      </c>
      <c r="R48" t="str">
        <f>IFERROR(__xludf.DUMMYFUNCTION("""COMPUTED_VALUE"""),"Av, Sarmiento 698, Mendoza , Argentina")</f>
        <v>Av, Sarmiento 698, Mendoza , Argentina</v>
      </c>
      <c r="S48" t="str">
        <f>IFERROR(__xludf.DUMMYFUNCTION("""COMPUTED_VALUE"""),"Avenida Sarmiento 698, San Rafael, Distrito Ciudad de San Rafael, Mendoza, AR")</f>
        <v>Avenida Sarmiento 698, San Rafael, Distrito Ciudad de San Rafael, Mendoza, AR</v>
      </c>
    </row>
    <row r="49">
      <c r="A49" s="1">
        <v>359.0</v>
      </c>
      <c r="B49" s="1" t="s">
        <v>154</v>
      </c>
      <c r="C49" s="1">
        <v>5.0</v>
      </c>
      <c r="D49" s="1" t="s">
        <v>3628</v>
      </c>
      <c r="E49" s="1" t="s">
        <v>2882</v>
      </c>
      <c r="F49" s="1" t="s">
        <v>2978</v>
      </c>
      <c r="G49" s="1" t="s">
        <v>3630</v>
      </c>
      <c r="H49" s="1" t="s">
        <v>3630</v>
      </c>
      <c r="I49" s="1" t="s">
        <v>21</v>
      </c>
      <c r="J49" s="1" t="s">
        <v>3631</v>
      </c>
      <c r="K49">
        <v>-68.342795</v>
      </c>
      <c r="L49">
        <v>-34.623097</v>
      </c>
      <c r="O49" s="1" t="s">
        <v>3632</v>
      </c>
      <c r="P49">
        <f t="shared" si="1"/>
        <v>-34.623097</v>
      </c>
      <c r="Q49">
        <f>IFERROR(__xludf.DUMMYFUNCTION("""COMPUTED_VALUE"""),-68.342795)</f>
        <v>-68.342795</v>
      </c>
      <c r="R49" t="str">
        <f>IFERROR(__xludf.DUMMYFUNCTION("""COMPUTED_VALUE"""),"Av, Sarmiento 658, Mendoza , Argentina")</f>
        <v>Av, Sarmiento 658, Mendoza , Argentina</v>
      </c>
      <c r="S49" t="str">
        <f>IFERROR(__xludf.DUMMYFUNCTION("""COMPUTED_VALUE"""),"Avenida Sarmiento 658, San Rafael, Distrito Ciudad de San Rafael, Mendoza, AR")</f>
        <v>Avenida Sarmiento 658, San Rafael, Distrito Ciudad de San Rafael, Mendoza, AR</v>
      </c>
    </row>
    <row r="50">
      <c r="A50" s="1">
        <v>363.0</v>
      </c>
      <c r="B50" s="1" t="s">
        <v>24</v>
      </c>
      <c r="C50" s="1">
        <v>1.0</v>
      </c>
      <c r="D50" s="1" t="s">
        <v>3637</v>
      </c>
      <c r="E50" s="1" t="s">
        <v>2882</v>
      </c>
      <c r="F50" s="1" t="s">
        <v>2978</v>
      </c>
      <c r="G50" s="1" t="s">
        <v>3638</v>
      </c>
      <c r="H50" s="1" t="s">
        <v>3638</v>
      </c>
      <c r="I50" s="1" t="s">
        <v>21</v>
      </c>
      <c r="J50" s="1" t="s">
        <v>3639</v>
      </c>
      <c r="K50">
        <v>-68.85221</v>
      </c>
      <c r="L50">
        <v>-32.892748</v>
      </c>
      <c r="O50" s="1" t="s">
        <v>3640</v>
      </c>
      <c r="P50">
        <f t="shared" si="1"/>
        <v>-32.892748</v>
      </c>
      <c r="Q50">
        <f>IFERROR(__xludf.DUMMYFUNCTION("""COMPUTED_VALUE"""),-68.85221)</f>
        <v>-68.85221</v>
      </c>
      <c r="R50" t="str">
        <f>IFERROR(__xludf.DUMMYFUNCTION("""COMPUTED_VALUE"""),"Arístides Villanueva 115, Mendoza , Argentina")</f>
        <v>Arístides Villanueva 115, Mendoza , Argentina</v>
      </c>
      <c r="S50" t="str">
        <f>IFERROR(__xludf.DUMMYFUNCTION("""COMPUTED_VALUE"""),"Arístides Villanueva 115, Ciudad de Mendoza, Sección 5ª Residencial Sur, Mendoza, AR")</f>
        <v>Arístides Villanueva 115, Ciudad de Mendoza, Sección 5ª Residencial Sur, Mendoza, AR</v>
      </c>
    </row>
    <row r="51">
      <c r="A51" s="1">
        <v>364.0</v>
      </c>
      <c r="B51" s="1" t="s">
        <v>24</v>
      </c>
      <c r="C51" s="1">
        <v>1.0</v>
      </c>
      <c r="D51" s="1" t="s">
        <v>3646</v>
      </c>
      <c r="E51" s="1" t="s">
        <v>2882</v>
      </c>
      <c r="F51" s="1" t="s">
        <v>2978</v>
      </c>
      <c r="G51" s="1" t="s">
        <v>3647</v>
      </c>
      <c r="H51" s="1" t="s">
        <v>3647</v>
      </c>
      <c r="I51" s="1" t="s">
        <v>21</v>
      </c>
      <c r="J51" s="1" t="s">
        <v>3648</v>
      </c>
      <c r="K51">
        <v>-68.8523</v>
      </c>
      <c r="L51">
        <v>-32.892731</v>
      </c>
      <c r="O51" s="1" t="s">
        <v>3649</v>
      </c>
      <c r="P51">
        <f t="shared" si="1"/>
        <v>-32.892731</v>
      </c>
      <c r="Q51">
        <f>IFERROR(__xludf.DUMMYFUNCTION("""COMPUTED_VALUE"""),-68.8523)</f>
        <v>-68.8523</v>
      </c>
      <c r="R51" t="str">
        <f>IFERROR(__xludf.DUMMYFUNCTION("""COMPUTED_VALUE"""),"Arístides Villanueva 127, Mendoza , Argentina")</f>
        <v>Arístides Villanueva 127, Mendoza , Argentina</v>
      </c>
      <c r="S51" t="str">
        <f>IFERROR(__xludf.DUMMYFUNCTION("""COMPUTED_VALUE"""),"Arístides Villanueva 127, Ciudad de Mendoza, Sección 5ª Residencial Sur, Mendoza, AR")</f>
        <v>Arístides Villanueva 127, Ciudad de Mendoza, Sección 5ª Residencial Sur, Mendoza, AR</v>
      </c>
    </row>
    <row r="52">
      <c r="A52" s="1">
        <v>365.0</v>
      </c>
      <c r="B52" s="1" t="s">
        <v>24</v>
      </c>
      <c r="C52" s="1">
        <v>1.0</v>
      </c>
      <c r="D52" s="1" t="s">
        <v>3653</v>
      </c>
      <c r="E52" s="1" t="s">
        <v>2882</v>
      </c>
      <c r="F52" s="1" t="s">
        <v>2978</v>
      </c>
      <c r="G52" s="1" t="s">
        <v>3654</v>
      </c>
      <c r="H52" s="1" t="s">
        <v>3654</v>
      </c>
      <c r="I52" s="1" t="s">
        <v>21</v>
      </c>
      <c r="J52" s="1" t="s">
        <v>3655</v>
      </c>
      <c r="K52">
        <v>-68.852359</v>
      </c>
      <c r="L52">
        <v>-32.89272</v>
      </c>
      <c r="O52" s="1" t="s">
        <v>3656</v>
      </c>
      <c r="P52">
        <f t="shared" si="1"/>
        <v>-32.89272</v>
      </c>
      <c r="Q52">
        <f>IFERROR(__xludf.DUMMYFUNCTION("""COMPUTED_VALUE"""),-68.852359)</f>
        <v>-68.852359</v>
      </c>
      <c r="R52" t="str">
        <f>IFERROR(__xludf.DUMMYFUNCTION("""COMPUTED_VALUE"""),"Arístides Villanueva 135, Mendoza , Argentina")</f>
        <v>Arístides Villanueva 135, Mendoza , Argentina</v>
      </c>
      <c r="S52" t="str">
        <f>IFERROR(__xludf.DUMMYFUNCTION("""COMPUTED_VALUE"""),"Arístides Villanueva 135, Ciudad de Mendoza, Sección 5ª Residencial Sur, Mendoza, AR")</f>
        <v>Arístides Villanueva 135, Ciudad de Mendoza, Sección 5ª Residencial Sur, Mendoza, AR</v>
      </c>
    </row>
    <row r="53">
      <c r="A53" s="1">
        <v>366.0</v>
      </c>
      <c r="B53" s="1" t="s">
        <v>24</v>
      </c>
      <c r="C53" s="1">
        <v>1.0</v>
      </c>
      <c r="D53" s="1" t="s">
        <v>3662</v>
      </c>
      <c r="E53" s="1" t="s">
        <v>2882</v>
      </c>
      <c r="F53" s="1" t="s">
        <v>2978</v>
      </c>
      <c r="G53" s="1" t="s">
        <v>3663</v>
      </c>
      <c r="H53" s="1" t="s">
        <v>3663</v>
      </c>
      <c r="I53" s="1" t="s">
        <v>21</v>
      </c>
      <c r="J53" s="1" t="s">
        <v>3664</v>
      </c>
      <c r="K53">
        <v>-68.852557</v>
      </c>
      <c r="L53">
        <v>-32.892666</v>
      </c>
      <c r="O53" s="1" t="s">
        <v>3665</v>
      </c>
      <c r="P53">
        <f t="shared" si="1"/>
        <v>-32.892666</v>
      </c>
      <c r="Q53">
        <f>IFERROR(__xludf.DUMMYFUNCTION("""COMPUTED_VALUE"""),-68.852557)</f>
        <v>-68.852557</v>
      </c>
      <c r="R53" t="str">
        <f>IFERROR(__xludf.DUMMYFUNCTION("""COMPUTED_VALUE"""),"Arístides Villanueva 153, Mendoza , Argentina")</f>
        <v>Arístides Villanueva 153, Mendoza , Argentina</v>
      </c>
      <c r="S53" t="str">
        <f>IFERROR(__xludf.DUMMYFUNCTION("""COMPUTED_VALUE"""),"Arístides Villanueva 153, Ciudad de Mendoza, Sección 5ª Residencial Sur, Mendoza, AR")</f>
        <v>Arístides Villanueva 153, Ciudad de Mendoza, Sección 5ª Residencial Sur, Mendoza, AR</v>
      </c>
    </row>
    <row r="54">
      <c r="A54" s="1">
        <v>367.0</v>
      </c>
      <c r="B54" s="1" t="s">
        <v>24</v>
      </c>
      <c r="C54" s="1">
        <v>1.0</v>
      </c>
      <c r="D54" s="1" t="s">
        <v>3666</v>
      </c>
      <c r="E54" s="1" t="s">
        <v>2882</v>
      </c>
      <c r="F54" s="1" t="s">
        <v>2978</v>
      </c>
      <c r="G54" s="1" t="s">
        <v>3667</v>
      </c>
      <c r="H54" s="1" t="s">
        <v>3667</v>
      </c>
      <c r="I54" s="1" t="s">
        <v>21</v>
      </c>
      <c r="J54" s="1" t="s">
        <v>3669</v>
      </c>
      <c r="K54">
        <v>-68.852583</v>
      </c>
      <c r="L54">
        <v>-32.892679</v>
      </c>
      <c r="O54" s="1" t="s">
        <v>3670</v>
      </c>
      <c r="P54">
        <f t="shared" si="1"/>
        <v>-32.892679</v>
      </c>
      <c r="Q54">
        <f>IFERROR(__xludf.DUMMYFUNCTION("""COMPUTED_VALUE"""),-68.852583)</f>
        <v>-68.852583</v>
      </c>
      <c r="R54" t="str">
        <f>IFERROR(__xludf.DUMMYFUNCTION("""COMPUTED_VALUE"""),"Arístides Villanueva 165, Mendoza , Argentina")</f>
        <v>Arístides Villanueva 165, Mendoza , Argentina</v>
      </c>
      <c r="S54" t="str">
        <f>IFERROR(__xludf.DUMMYFUNCTION("""COMPUTED_VALUE"""),"Arístides Villanueva 165, Ciudad de Mendoza, Sección 5ª Residencial Sur, Mendoza, AR")</f>
        <v>Arístides Villanueva 165, Ciudad de Mendoza, Sección 5ª Residencial Sur, Mendoza, AR</v>
      </c>
    </row>
    <row r="55">
      <c r="A55" s="1">
        <v>372.0</v>
      </c>
      <c r="B55" s="1" t="s">
        <v>24</v>
      </c>
      <c r="C55" s="1">
        <v>1.0</v>
      </c>
      <c r="D55" s="1" t="s">
        <v>3678</v>
      </c>
      <c r="E55" s="1" t="s">
        <v>2882</v>
      </c>
      <c r="F55" s="1" t="s">
        <v>2978</v>
      </c>
      <c r="G55" s="1" t="s">
        <v>3679</v>
      </c>
      <c r="H55" s="1" t="s">
        <v>3679</v>
      </c>
      <c r="I55" s="1" t="s">
        <v>21</v>
      </c>
      <c r="J55" s="1" t="s">
        <v>3680</v>
      </c>
      <c r="K55">
        <v>-68.852777</v>
      </c>
      <c r="L55">
        <v>-32.892643</v>
      </c>
      <c r="O55" s="1" t="s">
        <v>3681</v>
      </c>
      <c r="P55">
        <f t="shared" si="1"/>
        <v>-32.892643</v>
      </c>
      <c r="Q55">
        <f>IFERROR(__xludf.DUMMYFUNCTION("""COMPUTED_VALUE"""),-68.852777)</f>
        <v>-68.852777</v>
      </c>
      <c r="R55" t="str">
        <f>IFERROR(__xludf.DUMMYFUNCTION("""COMPUTED_VALUE"""),"Arístides Villanueva 191, Mendoza , Argentina")</f>
        <v>Arístides Villanueva 191, Mendoza , Argentina</v>
      </c>
      <c r="S55" t="str">
        <f>IFERROR(__xludf.DUMMYFUNCTION("""COMPUTED_VALUE"""),"Arístides Villanueva 191, Ciudad de Mendoza, Sección 5ª Residencial Sur, Mendoza, AR")</f>
        <v>Arístides Villanueva 191, Ciudad de Mendoza, Sección 5ª Residencial Sur, Mendoza, AR</v>
      </c>
    </row>
    <row r="56">
      <c r="A56" s="1">
        <v>375.0</v>
      </c>
      <c r="B56" s="1" t="s">
        <v>24</v>
      </c>
      <c r="C56" s="1">
        <v>2.0</v>
      </c>
      <c r="D56" s="1" t="s">
        <v>3686</v>
      </c>
      <c r="E56" s="1" t="s">
        <v>2882</v>
      </c>
      <c r="F56" s="1" t="s">
        <v>2978</v>
      </c>
      <c r="G56" s="1" t="s">
        <v>3687</v>
      </c>
      <c r="H56" s="1" t="s">
        <v>3687</v>
      </c>
      <c r="I56" s="1" t="s">
        <v>21</v>
      </c>
      <c r="J56" s="1" t="s">
        <v>3688</v>
      </c>
      <c r="K56">
        <v>-68.853307</v>
      </c>
      <c r="L56">
        <v>-32.892703</v>
      </c>
      <c r="O56" s="1" t="s">
        <v>3689</v>
      </c>
      <c r="P56">
        <f t="shared" si="1"/>
        <v>-32.892703</v>
      </c>
      <c r="Q56">
        <f>IFERROR(__xludf.DUMMYFUNCTION("""COMPUTED_VALUE"""),-68.853307)</f>
        <v>-68.853307</v>
      </c>
      <c r="R56" t="str">
        <f>IFERROR(__xludf.DUMMYFUNCTION("""COMPUTED_VALUE"""),"Arístides Villanueva 204, Mendoza , Argentina")</f>
        <v>Arístides Villanueva 204, Mendoza , Argentina</v>
      </c>
      <c r="S56" t="str">
        <f>IFERROR(__xludf.DUMMYFUNCTION("""COMPUTED_VALUE"""),"Arístides Villanueva 204, Ciudad de Mendoza, Sección 5ª Residencial Sur, Mendoza, AR")</f>
        <v>Arístides Villanueva 204, Ciudad de Mendoza, Sección 5ª Residencial Sur, Mendoza, AR</v>
      </c>
    </row>
    <row r="57">
      <c r="A57" s="1">
        <v>376.0</v>
      </c>
      <c r="B57" s="1" t="s">
        <v>24</v>
      </c>
      <c r="C57" s="1">
        <v>2.0</v>
      </c>
      <c r="D57" s="1" t="s">
        <v>3697</v>
      </c>
      <c r="E57" s="1" t="s">
        <v>2882</v>
      </c>
      <c r="F57" s="1" t="s">
        <v>2978</v>
      </c>
      <c r="G57" s="1" t="s">
        <v>3698</v>
      </c>
      <c r="H57" s="1" t="s">
        <v>3698</v>
      </c>
      <c r="I57" s="1" t="s">
        <v>21</v>
      </c>
      <c r="J57" s="1" t="s">
        <v>3699</v>
      </c>
      <c r="K57">
        <v>-68.85332</v>
      </c>
      <c r="L57">
        <v>-32.89252</v>
      </c>
      <c r="O57" s="1" t="s">
        <v>3700</v>
      </c>
      <c r="P57">
        <f t="shared" si="1"/>
        <v>-32.89252</v>
      </c>
      <c r="Q57">
        <f>IFERROR(__xludf.DUMMYFUNCTION("""COMPUTED_VALUE"""),-68.85332)</f>
        <v>-68.85332</v>
      </c>
      <c r="R57" t="str">
        <f>IFERROR(__xludf.DUMMYFUNCTION("""COMPUTED_VALUE"""),"Arístides Villanueva 217, Mendoza , Argentina")</f>
        <v>Arístides Villanueva 217, Mendoza , Argentina</v>
      </c>
      <c r="S57" t="str">
        <f>IFERROR(__xludf.DUMMYFUNCTION("""COMPUTED_VALUE"""),"Arístides Villanueva 217, Ciudad de Mendoza, Sección 5ª Residencial Sur, Mendoza, AR")</f>
        <v>Arístides Villanueva 217, Ciudad de Mendoza, Sección 5ª Residencial Sur, Mendoza, AR</v>
      </c>
    </row>
    <row r="58">
      <c r="A58" s="1">
        <v>379.0</v>
      </c>
      <c r="B58" s="1" t="s">
        <v>24</v>
      </c>
      <c r="C58" s="1">
        <v>2.0</v>
      </c>
      <c r="D58" s="1" t="s">
        <v>3708</v>
      </c>
      <c r="E58" s="1" t="s">
        <v>2882</v>
      </c>
      <c r="F58" s="1" t="s">
        <v>2978</v>
      </c>
      <c r="G58" s="1" t="s">
        <v>3710</v>
      </c>
      <c r="H58" s="1" t="s">
        <v>3712</v>
      </c>
      <c r="I58" s="1" t="s">
        <v>21</v>
      </c>
      <c r="J58" s="1" t="s">
        <v>3713</v>
      </c>
      <c r="K58">
        <v>-68.853786</v>
      </c>
      <c r="L58">
        <v>-32.892458</v>
      </c>
      <c r="O58" s="1" t="s">
        <v>3714</v>
      </c>
      <c r="P58">
        <f t="shared" si="1"/>
        <v>-32.892458</v>
      </c>
      <c r="Q58">
        <f>IFERROR(__xludf.DUMMYFUNCTION("""COMPUTED_VALUE"""),-68.853786)</f>
        <v>-68.853786</v>
      </c>
      <c r="R58" t="str">
        <f>IFERROR(__xludf.DUMMYFUNCTION("""COMPUTED_VALUE"""),"Arístides Villanueva 241, Mendoza , Argentina")</f>
        <v>Arístides Villanueva 241, Mendoza , Argentina</v>
      </c>
      <c r="S58" t="str">
        <f>IFERROR(__xludf.DUMMYFUNCTION("""COMPUTED_VALUE"""),"Arístides Villanueva 241, Ciudad de Mendoza, Sección 5ª Residencial Sur, Mendoza, AR")</f>
        <v>Arístides Villanueva 241, Ciudad de Mendoza, Sección 5ª Residencial Sur, Mendoza, AR</v>
      </c>
    </row>
    <row r="59">
      <c r="A59" s="1">
        <v>380.0</v>
      </c>
      <c r="B59" s="1" t="s">
        <v>24</v>
      </c>
      <c r="C59" s="1">
        <v>2.0</v>
      </c>
      <c r="D59" s="1" t="s">
        <v>3719</v>
      </c>
      <c r="E59" s="1" t="s">
        <v>2882</v>
      </c>
      <c r="F59" s="1" t="s">
        <v>2978</v>
      </c>
      <c r="G59" s="1" t="s">
        <v>3720</v>
      </c>
      <c r="H59" s="1" t="s">
        <v>3720</v>
      </c>
      <c r="I59" s="1" t="s">
        <v>21</v>
      </c>
      <c r="J59" s="1" t="s">
        <v>3721</v>
      </c>
      <c r="K59">
        <v>-68.853844</v>
      </c>
      <c r="L59">
        <v>-32.892447</v>
      </c>
      <c r="O59" s="1" t="s">
        <v>3722</v>
      </c>
      <c r="P59">
        <f t="shared" si="1"/>
        <v>-32.892447</v>
      </c>
      <c r="Q59">
        <f>IFERROR(__xludf.DUMMYFUNCTION("""COMPUTED_VALUE"""),-68.853844)</f>
        <v>-68.853844</v>
      </c>
      <c r="R59" t="str">
        <f>IFERROR(__xludf.DUMMYFUNCTION("""COMPUTED_VALUE"""),"Arístides Villanueva 245, Mendoza , Argentina")</f>
        <v>Arístides Villanueva 245, Mendoza , Argentina</v>
      </c>
      <c r="S59" t="str">
        <f>IFERROR(__xludf.DUMMYFUNCTION("""COMPUTED_VALUE"""),"Arístides Villanueva 245, Ciudad de Mendoza, Sección 5ª Residencial Sur, Mendoza, AR")</f>
        <v>Arístides Villanueva 245, Ciudad de Mendoza, Sección 5ª Residencial Sur, Mendoza, AR</v>
      </c>
    </row>
    <row r="60">
      <c r="A60" s="1">
        <v>381.0</v>
      </c>
      <c r="B60" s="1" t="s">
        <v>24</v>
      </c>
      <c r="C60" s="1">
        <v>2.0</v>
      </c>
      <c r="D60" s="1" t="s">
        <v>3728</v>
      </c>
      <c r="E60" s="1" t="s">
        <v>2882</v>
      </c>
      <c r="F60" s="1" t="s">
        <v>2978</v>
      </c>
      <c r="G60" s="1" t="s">
        <v>3729</v>
      </c>
      <c r="H60" s="1" t="s">
        <v>3729</v>
      </c>
      <c r="I60" s="1" t="s">
        <v>21</v>
      </c>
      <c r="J60" s="1" t="s">
        <v>3730</v>
      </c>
      <c r="K60">
        <v>-68.854019</v>
      </c>
      <c r="L60">
        <v>-32.892416</v>
      </c>
      <c r="O60" s="1" t="s">
        <v>3732</v>
      </c>
      <c r="P60">
        <f t="shared" si="1"/>
        <v>-32.892416</v>
      </c>
      <c r="Q60">
        <f>IFERROR(__xludf.DUMMYFUNCTION("""COMPUTED_VALUE"""),-68.854019)</f>
        <v>-68.854019</v>
      </c>
      <c r="R60" t="str">
        <f>IFERROR(__xludf.DUMMYFUNCTION("""COMPUTED_VALUE"""),"Arístides Villanueva 257, Mendoza , Argentina")</f>
        <v>Arístides Villanueva 257, Mendoza , Argentina</v>
      </c>
      <c r="S60" t="str">
        <f>IFERROR(__xludf.DUMMYFUNCTION("""COMPUTED_VALUE"""),"Arístides Villanueva 257, Ciudad de Mendoza, Sección 5ª Residencial Sur, Mendoza, AR")</f>
        <v>Arístides Villanueva 257, Ciudad de Mendoza, Sección 5ª Residencial Sur, Mendoza, AR</v>
      </c>
    </row>
    <row r="61">
      <c r="A61" s="1">
        <v>382.0</v>
      </c>
      <c r="B61" s="1" t="s">
        <v>24</v>
      </c>
      <c r="C61" s="1">
        <v>2.0</v>
      </c>
      <c r="D61" s="1" t="s">
        <v>3739</v>
      </c>
      <c r="E61" s="1" t="s">
        <v>2882</v>
      </c>
      <c r="F61" s="1" t="s">
        <v>2978</v>
      </c>
      <c r="G61" s="1" t="s">
        <v>3740</v>
      </c>
      <c r="H61" s="1" t="s">
        <v>3740</v>
      </c>
      <c r="I61" s="1" t="s">
        <v>21</v>
      </c>
      <c r="J61" s="1" t="s">
        <v>3741</v>
      </c>
      <c r="K61">
        <v>-68.854106</v>
      </c>
      <c r="L61">
        <v>-32.8924</v>
      </c>
      <c r="O61" s="1" t="s">
        <v>3742</v>
      </c>
      <c r="P61">
        <f t="shared" si="1"/>
        <v>-32.8924</v>
      </c>
      <c r="Q61">
        <f>IFERROR(__xludf.DUMMYFUNCTION("""COMPUTED_VALUE"""),-68.854106)</f>
        <v>-68.854106</v>
      </c>
      <c r="R61" t="str">
        <f>IFERROR(__xludf.DUMMYFUNCTION("""COMPUTED_VALUE"""),"Arístides Villanueva 263, Mendoza , Argentina")</f>
        <v>Arístides Villanueva 263, Mendoza , Argentina</v>
      </c>
      <c r="S61" t="str">
        <f>IFERROR(__xludf.DUMMYFUNCTION("""COMPUTED_VALUE"""),"Arístides Villanueva 263, Ciudad de Mendoza, Sección 5ª Residencial Sur, Mendoza, AR")</f>
        <v>Arístides Villanueva 263, Ciudad de Mendoza, Sección 5ª Residencial Sur, Mendoza, AR</v>
      </c>
    </row>
    <row r="62">
      <c r="A62" s="1">
        <v>383.0</v>
      </c>
      <c r="B62" s="1" t="s">
        <v>24</v>
      </c>
      <c r="C62" s="1">
        <v>2.0</v>
      </c>
      <c r="D62" s="1" t="s">
        <v>3750</v>
      </c>
      <c r="E62" s="1" t="s">
        <v>2882</v>
      </c>
      <c r="F62" s="1" t="s">
        <v>2978</v>
      </c>
      <c r="G62" s="1" t="s">
        <v>3752</v>
      </c>
      <c r="H62" s="1" t="s">
        <v>3752</v>
      </c>
      <c r="I62" s="1" t="s">
        <v>21</v>
      </c>
      <c r="J62" s="1" t="s">
        <v>3754</v>
      </c>
      <c r="K62">
        <v>-68.85428</v>
      </c>
      <c r="L62">
        <v>-32.892368</v>
      </c>
      <c r="O62" s="1" t="s">
        <v>3755</v>
      </c>
      <c r="P62">
        <f t="shared" si="1"/>
        <v>-32.892368</v>
      </c>
      <c r="Q62">
        <f>IFERROR(__xludf.DUMMYFUNCTION("""COMPUTED_VALUE"""),-68.85428)</f>
        <v>-68.85428</v>
      </c>
      <c r="R62" t="str">
        <f>IFERROR(__xludf.DUMMYFUNCTION("""COMPUTED_VALUE"""),"Arístides Villanueva 275, Mendoza , Argentina")</f>
        <v>Arístides Villanueva 275, Mendoza , Argentina</v>
      </c>
      <c r="S62" t="str">
        <f>IFERROR(__xludf.DUMMYFUNCTION("""COMPUTED_VALUE"""),"Arístides Villanueva 275, Ciudad de Mendoza, Sección 5ª Residencial Sur, Mendoza, AR")</f>
        <v>Arístides Villanueva 275, Ciudad de Mendoza, Sección 5ª Residencial Sur, Mendoza, AR</v>
      </c>
    </row>
    <row r="63">
      <c r="A63" s="1">
        <v>384.0</v>
      </c>
      <c r="B63" s="1" t="s">
        <v>24</v>
      </c>
      <c r="C63" s="1">
        <v>2.0</v>
      </c>
      <c r="D63" s="1" t="s">
        <v>3760</v>
      </c>
      <c r="E63" s="1" t="s">
        <v>2882</v>
      </c>
      <c r="F63" s="1" t="s">
        <v>2978</v>
      </c>
      <c r="G63" s="1" t="s">
        <v>3761</v>
      </c>
      <c r="H63" s="1" t="s">
        <v>3761</v>
      </c>
      <c r="I63" s="1" t="s">
        <v>21</v>
      </c>
      <c r="J63" s="1" t="s">
        <v>3762</v>
      </c>
      <c r="K63">
        <v>-68.854322</v>
      </c>
      <c r="L63">
        <v>-32.892326</v>
      </c>
      <c r="O63" s="1" t="s">
        <v>3763</v>
      </c>
      <c r="P63">
        <f t="shared" si="1"/>
        <v>-32.892326</v>
      </c>
      <c r="Q63">
        <f>IFERROR(__xludf.DUMMYFUNCTION("""COMPUTED_VALUE"""),-68.854322)</f>
        <v>-68.854322</v>
      </c>
      <c r="R63" t="str">
        <f>IFERROR(__xludf.DUMMYFUNCTION("""COMPUTED_VALUE"""),"Arístides Villanueva 287, Mendoza , Argentina")</f>
        <v>Arístides Villanueva 287, Mendoza , Argentina</v>
      </c>
      <c r="S63" t="str">
        <f>IFERROR(__xludf.DUMMYFUNCTION("""COMPUTED_VALUE"""),"Arístides Villanueva 287, Ciudad de Mendoza, Sección 5ª Residencial Sur, Mendoza, AR")</f>
        <v>Arístides Villanueva 287, Ciudad de Mendoza, Sección 5ª Residencial Sur, Mendoza, AR</v>
      </c>
    </row>
    <row r="64">
      <c r="A64" s="1">
        <v>386.0</v>
      </c>
      <c r="B64" s="1" t="s">
        <v>24</v>
      </c>
      <c r="C64" s="1">
        <v>2.0</v>
      </c>
      <c r="D64" s="1" t="s">
        <v>3769</v>
      </c>
      <c r="E64" s="1" t="s">
        <v>2882</v>
      </c>
      <c r="F64" s="1" t="s">
        <v>2978</v>
      </c>
      <c r="G64" s="1" t="s">
        <v>1573</v>
      </c>
      <c r="H64" s="1" t="s">
        <v>3771</v>
      </c>
      <c r="I64" s="1" t="s">
        <v>21</v>
      </c>
      <c r="J64" s="1" t="s">
        <v>1575</v>
      </c>
      <c r="K64">
        <v>-68.854571</v>
      </c>
      <c r="L64">
        <v>-32.892315</v>
      </c>
      <c r="O64" s="1" t="s">
        <v>3774</v>
      </c>
      <c r="P64">
        <f t="shared" si="1"/>
        <v>-32.892315</v>
      </c>
      <c r="Q64">
        <f>IFERROR(__xludf.DUMMYFUNCTION("""COMPUTED_VALUE"""),-68.854571)</f>
        <v>-68.854571</v>
      </c>
      <c r="R64" t="str">
        <f>IFERROR(__xludf.DUMMYFUNCTION("""COMPUTED_VALUE"""),"Arístides Villanueva 295, Mendoza , Argentina")</f>
        <v>Arístides Villanueva 295, Mendoza , Argentina</v>
      </c>
      <c r="S64" t="str">
        <f>IFERROR(__xludf.DUMMYFUNCTION("""COMPUTED_VALUE"""),"Arístides Villanueva 295, Ciudad de Mendoza, Sección 5ª Residencial Sur, Mendoza, AR")</f>
        <v>Arístides Villanueva 295, Ciudad de Mendoza, Sección 5ª Residencial Sur, Mendoza, AR</v>
      </c>
    </row>
    <row r="65">
      <c r="A65" s="1">
        <v>387.0</v>
      </c>
      <c r="B65" s="1" t="s">
        <v>24</v>
      </c>
      <c r="C65" s="1">
        <v>3.0</v>
      </c>
      <c r="D65" s="1" t="s">
        <v>3779</v>
      </c>
      <c r="E65" s="1" t="s">
        <v>2882</v>
      </c>
      <c r="F65" s="1" t="s">
        <v>2978</v>
      </c>
      <c r="G65" s="1" t="s">
        <v>3780</v>
      </c>
      <c r="H65" s="1" t="s">
        <v>3780</v>
      </c>
      <c r="I65" s="1" t="s">
        <v>21</v>
      </c>
      <c r="J65" s="1" t="s">
        <v>3782</v>
      </c>
      <c r="K65">
        <v>-68.854797</v>
      </c>
      <c r="L65">
        <v>-32.892273</v>
      </c>
      <c r="O65" s="1" t="s">
        <v>3784</v>
      </c>
      <c r="P65">
        <f t="shared" si="1"/>
        <v>-32.892273</v>
      </c>
      <c r="Q65">
        <f>IFERROR(__xludf.DUMMYFUNCTION("""COMPUTED_VALUE"""),-68.854797)</f>
        <v>-68.854797</v>
      </c>
      <c r="R65" t="str">
        <f>IFERROR(__xludf.DUMMYFUNCTION("""COMPUTED_VALUE"""),"Arístides Villanueva 301, Mendoza , Argentina")</f>
        <v>Arístides Villanueva 301, Mendoza , Argentina</v>
      </c>
      <c r="S65" t="str">
        <f>IFERROR(__xludf.DUMMYFUNCTION("""COMPUTED_VALUE"""),"Arístides Villanueva 301, Ciudad de Mendoza, Sección 5ª Residencial Sur, Mendoza, AR")</f>
        <v>Arístides Villanueva 301, Ciudad de Mendoza, Sección 5ª Residencial Sur, Mendoza, AR</v>
      </c>
    </row>
    <row r="66">
      <c r="A66" s="1">
        <v>388.0</v>
      </c>
      <c r="B66" s="1" t="s">
        <v>24</v>
      </c>
      <c r="C66" s="1">
        <v>3.0</v>
      </c>
      <c r="D66" s="1" t="s">
        <v>3789</v>
      </c>
      <c r="E66" s="1" t="s">
        <v>2882</v>
      </c>
      <c r="F66" s="1" t="s">
        <v>2978</v>
      </c>
      <c r="G66" s="1" t="s">
        <v>3791</v>
      </c>
      <c r="H66" s="1" t="s">
        <v>3791</v>
      </c>
      <c r="I66" s="1" t="s">
        <v>21</v>
      </c>
      <c r="J66" s="1" t="s">
        <v>3794</v>
      </c>
      <c r="K66">
        <v>-68.854868</v>
      </c>
      <c r="L66">
        <v>-32.89226</v>
      </c>
      <c r="O66" s="1" t="s">
        <v>3797</v>
      </c>
      <c r="P66">
        <f t="shared" si="1"/>
        <v>-32.89226</v>
      </c>
      <c r="Q66">
        <f>IFERROR(__xludf.DUMMYFUNCTION("""COMPUTED_VALUE"""),-68.854868)</f>
        <v>-68.854868</v>
      </c>
      <c r="R66" t="str">
        <f>IFERROR(__xludf.DUMMYFUNCTION("""COMPUTED_VALUE"""),"Arístides Villanueva 305, Mendoza , Argentina")</f>
        <v>Arístides Villanueva 305, Mendoza , Argentina</v>
      </c>
      <c r="S66" t="str">
        <f>IFERROR(__xludf.DUMMYFUNCTION("""COMPUTED_VALUE"""),"Arístides Villanueva 305, Ciudad de Mendoza, Sección 5ª Residencial Sur, Mendoza, AR")</f>
        <v>Arístides Villanueva 305, Ciudad de Mendoza, Sección 5ª Residencial Sur, Mendoza, AR</v>
      </c>
    </row>
    <row r="67">
      <c r="A67" s="1">
        <v>389.0</v>
      </c>
      <c r="B67" s="1" t="s">
        <v>24</v>
      </c>
      <c r="C67" s="1">
        <v>3.0</v>
      </c>
      <c r="D67" s="1" t="s">
        <v>3800</v>
      </c>
      <c r="E67" s="1" t="s">
        <v>2882</v>
      </c>
      <c r="F67" s="1" t="s">
        <v>2978</v>
      </c>
      <c r="G67" s="1" t="s">
        <v>3803</v>
      </c>
      <c r="H67" s="1" t="s">
        <v>3803</v>
      </c>
      <c r="I67" s="1" t="s">
        <v>21</v>
      </c>
      <c r="J67" s="1" t="s">
        <v>3805</v>
      </c>
      <c r="K67">
        <v>-68.855545</v>
      </c>
      <c r="L67">
        <v>-32.892074</v>
      </c>
      <c r="O67" s="1" t="s">
        <v>3807</v>
      </c>
      <c r="P67">
        <f t="shared" si="1"/>
        <v>-32.892074</v>
      </c>
      <c r="Q67">
        <f>IFERROR(__xludf.DUMMYFUNCTION("""COMPUTED_VALUE"""),-68.855545)</f>
        <v>-68.855545</v>
      </c>
      <c r="R67" t="str">
        <f>IFERROR(__xludf.DUMMYFUNCTION("""COMPUTED_VALUE"""),"Arístides Villanueva 321, Mendoza , Argentina")</f>
        <v>Arístides Villanueva 321, Mendoza , Argentina</v>
      </c>
      <c r="S67" t="str">
        <f>IFERROR(__xludf.DUMMYFUNCTION("""COMPUTED_VALUE"""),"Arístides Villanueva 321, Ciudad de Mendoza, Sección 5ª Residencial Sur, Mendoza, AR")</f>
        <v>Arístides Villanueva 321, Ciudad de Mendoza, Sección 5ª Residencial Sur, Mendoza, AR</v>
      </c>
    </row>
    <row r="68">
      <c r="A68" s="1">
        <v>392.0</v>
      </c>
      <c r="B68" s="1" t="s">
        <v>24</v>
      </c>
      <c r="C68" s="1">
        <v>3.0</v>
      </c>
      <c r="D68" s="1" t="s">
        <v>3813</v>
      </c>
      <c r="E68" s="1" t="s">
        <v>2882</v>
      </c>
      <c r="F68" s="1" t="s">
        <v>2978</v>
      </c>
      <c r="G68" s="1" t="s">
        <v>3815</v>
      </c>
      <c r="H68" s="1" t="s">
        <v>3815</v>
      </c>
      <c r="I68" s="1" t="s">
        <v>21</v>
      </c>
      <c r="J68" s="1" t="s">
        <v>3816</v>
      </c>
      <c r="K68">
        <v>-68.855506</v>
      </c>
      <c r="L68">
        <v>-32.89214</v>
      </c>
      <c r="O68" s="1" t="s">
        <v>3817</v>
      </c>
      <c r="P68">
        <f t="shared" si="1"/>
        <v>-32.89214</v>
      </c>
      <c r="Q68">
        <f>IFERROR(__xludf.DUMMYFUNCTION("""COMPUTED_VALUE"""),-68.855506)</f>
        <v>-68.855506</v>
      </c>
      <c r="R68" t="str">
        <f>IFERROR(__xludf.DUMMYFUNCTION("""COMPUTED_VALUE"""),"Arístides Villanueva 341, Mendoza , Argentina")</f>
        <v>Arístides Villanueva 341, Mendoza , Argentina</v>
      </c>
      <c r="S68" t="str">
        <f>IFERROR(__xludf.DUMMYFUNCTION("""COMPUTED_VALUE"""),"Arístides Villanueva 341, Ciudad de Mendoza, Sección 5ª Residencial Sur, Mendoza, AR")</f>
        <v>Arístides Villanueva 341, Ciudad de Mendoza, Sección 5ª Residencial Sur, Mendoza, AR</v>
      </c>
    </row>
    <row r="69">
      <c r="A69" s="1">
        <v>393.0</v>
      </c>
      <c r="B69" s="1" t="s">
        <v>24</v>
      </c>
      <c r="C69" s="1">
        <v>3.0</v>
      </c>
      <c r="D69" s="1" t="s">
        <v>3822</v>
      </c>
      <c r="E69" s="1" t="s">
        <v>2882</v>
      </c>
      <c r="F69" s="1" t="s">
        <v>2978</v>
      </c>
      <c r="G69" s="1" t="s">
        <v>3825</v>
      </c>
      <c r="H69" s="1" t="s">
        <v>3825</v>
      </c>
      <c r="I69" s="1" t="s">
        <v>21</v>
      </c>
      <c r="J69" s="1" t="s">
        <v>3827</v>
      </c>
      <c r="K69">
        <v>-68.855612</v>
      </c>
      <c r="L69">
        <v>-32.89212</v>
      </c>
      <c r="O69" s="1" t="s">
        <v>3828</v>
      </c>
      <c r="P69">
        <f t="shared" si="1"/>
        <v>-32.89212</v>
      </c>
      <c r="Q69">
        <f>IFERROR(__xludf.DUMMYFUNCTION("""COMPUTED_VALUE"""),-68.855612)</f>
        <v>-68.855612</v>
      </c>
      <c r="R69" t="str">
        <f>IFERROR(__xludf.DUMMYFUNCTION("""COMPUTED_VALUE"""),"Arístides Villanueva 347, Mendoza , Argentina")</f>
        <v>Arístides Villanueva 347, Mendoza , Argentina</v>
      </c>
      <c r="S69" t="str">
        <f>IFERROR(__xludf.DUMMYFUNCTION("""COMPUTED_VALUE"""),"Arístides Villanueva 347, Ciudad de Mendoza, Sección 5ª Residencial Sur, Mendoza, AR")</f>
        <v>Arístides Villanueva 347, Ciudad de Mendoza, Sección 5ª Residencial Sur, Mendoza, AR</v>
      </c>
    </row>
    <row r="70">
      <c r="A70" s="1">
        <v>394.0</v>
      </c>
      <c r="B70" s="1" t="s">
        <v>24</v>
      </c>
      <c r="C70" s="1">
        <v>3.0</v>
      </c>
      <c r="D70" s="1" t="s">
        <v>3833</v>
      </c>
      <c r="E70" s="1" t="s">
        <v>2882</v>
      </c>
      <c r="F70" s="1" t="s">
        <v>2978</v>
      </c>
      <c r="G70" s="1" t="s">
        <v>3834</v>
      </c>
      <c r="H70" s="1" t="s">
        <v>3834</v>
      </c>
      <c r="I70" s="1" t="s">
        <v>21</v>
      </c>
      <c r="J70" s="1" t="s">
        <v>3835</v>
      </c>
      <c r="K70">
        <v>-68.856073</v>
      </c>
      <c r="L70">
        <v>-32.892033</v>
      </c>
      <c r="O70" s="1" t="s">
        <v>3836</v>
      </c>
      <c r="P70">
        <f t="shared" si="1"/>
        <v>-32.892033</v>
      </c>
      <c r="Q70">
        <f>IFERROR(__xludf.DUMMYFUNCTION("""COMPUTED_VALUE"""),-68.856073)</f>
        <v>-68.856073</v>
      </c>
      <c r="R70" t="str">
        <f>IFERROR(__xludf.DUMMYFUNCTION("""COMPUTED_VALUE"""),"Arístides Villanueva 373, Mendoza , Argentina")</f>
        <v>Arístides Villanueva 373, Mendoza , Argentina</v>
      </c>
      <c r="S70" t="str">
        <f>IFERROR(__xludf.DUMMYFUNCTION("""COMPUTED_VALUE"""),"Arístides Villanueva 373, Ciudad de Mendoza, Sección 5ª Residencial Sur, Mendoza, AR")</f>
        <v>Arístides Villanueva 373, Ciudad de Mendoza, Sección 5ª Residencial Sur, Mendoza, AR</v>
      </c>
    </row>
    <row r="71">
      <c r="A71" s="1">
        <v>395.0</v>
      </c>
      <c r="B71" s="1" t="s">
        <v>24</v>
      </c>
      <c r="C71" s="1">
        <v>3.0</v>
      </c>
      <c r="D71" s="1" t="s">
        <v>3846</v>
      </c>
      <c r="E71" s="1" t="s">
        <v>2882</v>
      </c>
      <c r="F71" s="1" t="s">
        <v>2978</v>
      </c>
      <c r="G71" s="1" t="s">
        <v>3847</v>
      </c>
      <c r="H71" s="1" t="s">
        <v>3847</v>
      </c>
      <c r="I71" s="1" t="s">
        <v>21</v>
      </c>
      <c r="J71" s="1" t="s">
        <v>3848</v>
      </c>
      <c r="K71">
        <v>-68.856189</v>
      </c>
      <c r="L71">
        <v>-32.892005</v>
      </c>
      <c r="O71" s="1" t="s">
        <v>3849</v>
      </c>
      <c r="P71">
        <f t="shared" si="1"/>
        <v>-32.892005</v>
      </c>
      <c r="Q71">
        <f>IFERROR(__xludf.DUMMYFUNCTION("""COMPUTED_VALUE"""),-68.856189)</f>
        <v>-68.856189</v>
      </c>
      <c r="R71" t="str">
        <f>IFERROR(__xludf.DUMMYFUNCTION("""COMPUTED_VALUE"""),"Arístides Villanueva 383, Mendoza , Argentina")</f>
        <v>Arístides Villanueva 383, Mendoza , Argentina</v>
      </c>
      <c r="S71" t="str">
        <f>IFERROR(__xludf.DUMMYFUNCTION("""COMPUTED_VALUE"""),"Arístides Villanueva 383, Ciudad de Mendoza, Sección 5ª Residencial Sur, Mendoza, AR")</f>
        <v>Arístides Villanueva 383, Ciudad de Mendoza, Sección 5ª Residencial Sur, Mendoza, AR</v>
      </c>
    </row>
    <row r="72">
      <c r="A72" s="1">
        <v>397.0</v>
      </c>
      <c r="B72" s="1" t="s">
        <v>24</v>
      </c>
      <c r="C72" s="1">
        <v>3.0</v>
      </c>
      <c r="D72" s="1" t="s">
        <v>2336</v>
      </c>
      <c r="E72" s="1" t="s">
        <v>2882</v>
      </c>
      <c r="F72" s="1" t="s">
        <v>2978</v>
      </c>
      <c r="G72" s="1" t="s">
        <v>3853</v>
      </c>
      <c r="H72" s="1" t="s">
        <v>3853</v>
      </c>
      <c r="I72" s="1" t="s">
        <v>21</v>
      </c>
      <c r="J72" s="1" t="s">
        <v>3855</v>
      </c>
      <c r="K72">
        <v>-68.856235</v>
      </c>
      <c r="L72">
        <v>-32.891947</v>
      </c>
      <c r="O72" s="1" t="s">
        <v>3857</v>
      </c>
      <c r="P72">
        <f t="shared" si="1"/>
        <v>-32.891947</v>
      </c>
      <c r="Q72">
        <f>IFERROR(__xludf.DUMMYFUNCTION("""COMPUTED_VALUE"""),-68.856235)</f>
        <v>-68.856235</v>
      </c>
      <c r="R72" t="str">
        <f>IFERROR(__xludf.DUMMYFUNCTION("""COMPUTED_VALUE"""),"Arístides Villanueva 387, Mendoza , Argentina")</f>
        <v>Arístides Villanueva 387, Mendoza , Argentina</v>
      </c>
      <c r="S72" t="str">
        <f>IFERROR(__xludf.DUMMYFUNCTION("""COMPUTED_VALUE"""),"Arístides Villanueva 387, Ciudad de Mendoza, Sección 5ª Residencial Sur, Mendoza, AR")</f>
        <v>Arístides Villanueva 387, Ciudad de Mendoza, Sección 5ª Residencial Sur, Mendoza, AR</v>
      </c>
    </row>
    <row r="73">
      <c r="A73" s="1">
        <v>398.0</v>
      </c>
      <c r="B73" s="1" t="s">
        <v>24</v>
      </c>
      <c r="C73" s="1">
        <v>3.0</v>
      </c>
      <c r="D73" s="1" t="s">
        <v>3862</v>
      </c>
      <c r="E73" s="1" t="s">
        <v>2882</v>
      </c>
      <c r="F73" s="1" t="s">
        <v>2978</v>
      </c>
      <c r="G73" s="1" t="s">
        <v>3863</v>
      </c>
      <c r="H73" s="1" t="s">
        <v>3863</v>
      </c>
      <c r="I73" s="1" t="s">
        <v>21</v>
      </c>
      <c r="J73" s="1" t="s">
        <v>3864</v>
      </c>
      <c r="K73">
        <v>-68.85634</v>
      </c>
      <c r="L73">
        <v>-32.891928</v>
      </c>
      <c r="O73" s="1" t="s">
        <v>3865</v>
      </c>
      <c r="P73">
        <f t="shared" si="1"/>
        <v>-32.891928</v>
      </c>
      <c r="Q73">
        <f>IFERROR(__xludf.DUMMYFUNCTION("""COMPUTED_VALUE"""),-68.85634)</f>
        <v>-68.85634</v>
      </c>
      <c r="R73" t="str">
        <f>IFERROR(__xludf.DUMMYFUNCTION("""COMPUTED_VALUE"""),"Arístides Villanueva 389, Mendoza , Argentina")</f>
        <v>Arístides Villanueva 389, Mendoza , Argentina</v>
      </c>
      <c r="S73" t="str">
        <f>IFERROR(__xludf.DUMMYFUNCTION("""COMPUTED_VALUE"""),"Arístides Villanueva 389, Ciudad de Mendoza, Sección 5ª Residencial Sur, Mendoza, AR")</f>
        <v>Arístides Villanueva 389, Ciudad de Mendoza, Sección 5ª Residencial Sur, Mendoza, AR</v>
      </c>
    </row>
    <row r="74">
      <c r="A74" s="1">
        <v>400.0</v>
      </c>
      <c r="B74" s="1" t="s">
        <v>24</v>
      </c>
      <c r="C74" s="1">
        <v>4.0</v>
      </c>
      <c r="D74" s="1" t="s">
        <v>3872</v>
      </c>
      <c r="E74" s="1" t="s">
        <v>2882</v>
      </c>
      <c r="F74" s="1" t="s">
        <v>2978</v>
      </c>
      <c r="G74" s="1" t="s">
        <v>3873</v>
      </c>
      <c r="H74" s="1" t="s">
        <v>3873</v>
      </c>
      <c r="I74" s="1" t="s">
        <v>21</v>
      </c>
      <c r="J74" s="1" t="s">
        <v>3874</v>
      </c>
      <c r="K74">
        <v>-68.856732</v>
      </c>
      <c r="L74">
        <v>-32.891919</v>
      </c>
      <c r="O74" s="1" t="s">
        <v>3875</v>
      </c>
      <c r="P74">
        <f t="shared" si="1"/>
        <v>-32.891919</v>
      </c>
      <c r="Q74">
        <f>IFERROR(__xludf.DUMMYFUNCTION("""COMPUTED_VALUE"""),-68.856732)</f>
        <v>-68.856732</v>
      </c>
      <c r="R74" t="str">
        <f>IFERROR(__xludf.DUMMYFUNCTION("""COMPUTED_VALUE"""),"Arístides Villanueva 405, Mendoza , Argentina")</f>
        <v>Arístides Villanueva 405, Mendoza , Argentina</v>
      </c>
      <c r="S74" t="str">
        <f>IFERROR(__xludf.DUMMYFUNCTION("""COMPUTED_VALUE"""),"Arístides Villanueva 405, Ciudad de Mendoza, Sección 5ª Residencial Sur, Mendoza, AR")</f>
        <v>Arístides Villanueva 405, Ciudad de Mendoza, Sección 5ª Residencial Sur, Mendoza, AR</v>
      </c>
    </row>
    <row r="75">
      <c r="A75" s="1">
        <v>402.0</v>
      </c>
      <c r="B75" s="1" t="s">
        <v>24</v>
      </c>
      <c r="C75" s="1">
        <v>4.0</v>
      </c>
      <c r="D75" s="1" t="s">
        <v>3881</v>
      </c>
      <c r="E75" s="1" t="s">
        <v>2882</v>
      </c>
      <c r="F75" s="1" t="s">
        <v>2978</v>
      </c>
      <c r="G75" s="1" t="s">
        <v>3883</v>
      </c>
      <c r="H75" s="1" t="s">
        <v>3883</v>
      </c>
      <c r="I75" s="1" t="s">
        <v>21</v>
      </c>
      <c r="J75" s="1" t="s">
        <v>3887</v>
      </c>
      <c r="K75">
        <v>-68.856626</v>
      </c>
      <c r="L75">
        <v>-32.892004</v>
      </c>
      <c r="O75" s="1" t="s">
        <v>3890</v>
      </c>
      <c r="P75">
        <f t="shared" si="1"/>
        <v>-32.892004</v>
      </c>
      <c r="Q75">
        <f>IFERROR(__xludf.DUMMYFUNCTION("""COMPUTED_VALUE"""),-68.856626)</f>
        <v>-68.856626</v>
      </c>
      <c r="R75" t="str">
        <f>IFERROR(__xludf.DUMMYFUNCTION("""COMPUTED_VALUE"""),"Arístides Villanueva 427, Mendoza , Argentina")</f>
        <v>Arístides Villanueva 427, Mendoza , Argentina</v>
      </c>
      <c r="S75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76">
      <c r="A76" s="1">
        <v>403.0</v>
      </c>
      <c r="B76" s="1" t="s">
        <v>24</v>
      </c>
      <c r="C76" s="1">
        <v>4.0</v>
      </c>
      <c r="D76" s="1" t="s">
        <v>3893</v>
      </c>
      <c r="E76" s="1" t="s">
        <v>2882</v>
      </c>
      <c r="F76" s="1" t="s">
        <v>2978</v>
      </c>
      <c r="G76" s="1" t="s">
        <v>3896</v>
      </c>
      <c r="H76" s="1" t="s">
        <v>3896</v>
      </c>
      <c r="I76" s="1" t="s">
        <v>21</v>
      </c>
      <c r="J76" s="1" t="s">
        <v>3898</v>
      </c>
      <c r="K76">
        <v>-68.856626</v>
      </c>
      <c r="L76">
        <v>-32.892004</v>
      </c>
      <c r="O76" s="1" t="s">
        <v>3900</v>
      </c>
      <c r="P76">
        <f t="shared" si="1"/>
        <v>-32.892004</v>
      </c>
      <c r="Q76">
        <f>IFERROR(__xludf.DUMMYFUNCTION("""COMPUTED_VALUE"""),-68.856626)</f>
        <v>-68.856626</v>
      </c>
      <c r="R76" t="str">
        <f>IFERROR(__xludf.DUMMYFUNCTION("""COMPUTED_VALUE"""),"Arístides Villanueva 439, Mendoza , Argentina")</f>
        <v>Arístides Villanueva 439, Mendoza , Argentina</v>
      </c>
      <c r="S76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77">
      <c r="A77" s="1">
        <v>404.0</v>
      </c>
      <c r="B77" s="1" t="s">
        <v>24</v>
      </c>
      <c r="C77" s="1">
        <v>4.0</v>
      </c>
      <c r="D77" s="1" t="s">
        <v>3907</v>
      </c>
      <c r="E77" s="1" t="s">
        <v>2882</v>
      </c>
      <c r="F77" s="1" t="s">
        <v>2978</v>
      </c>
      <c r="G77" s="1" t="s">
        <v>3908</v>
      </c>
      <c r="H77" s="1" t="s">
        <v>3908</v>
      </c>
      <c r="I77" s="1" t="s">
        <v>21</v>
      </c>
      <c r="J77" s="1" t="s">
        <v>3910</v>
      </c>
      <c r="K77">
        <v>-68.857253</v>
      </c>
      <c r="L77">
        <v>-32.891836</v>
      </c>
      <c r="O77" s="1" t="s">
        <v>3912</v>
      </c>
      <c r="P77">
        <f t="shared" si="1"/>
        <v>-32.891836</v>
      </c>
      <c r="Q77">
        <f>IFERROR(__xludf.DUMMYFUNCTION("""COMPUTED_VALUE"""),-68.857253)</f>
        <v>-68.857253</v>
      </c>
      <c r="R77" t="str">
        <f>IFERROR(__xludf.DUMMYFUNCTION("""COMPUTED_VALUE"""),"Arístides Villanueva 451, Mendoza , Argentina")</f>
        <v>Arístides Villanueva 451, Mendoza , Argentina</v>
      </c>
      <c r="S77" t="str">
        <f>IFERROR(__xludf.DUMMYFUNCTION("""COMPUTED_VALUE"""),"Arístides Villanueva 451, Ciudad de Mendoza, Sección 5ª Residencial Sur, Mendoza, AR")</f>
        <v>Arístides Villanueva 451, Ciudad de Mendoza, Sección 5ª Residencial Sur, Mendoza, AR</v>
      </c>
    </row>
    <row r="78">
      <c r="A78" s="1">
        <v>407.0</v>
      </c>
      <c r="B78" s="1" t="s">
        <v>24</v>
      </c>
      <c r="C78" s="1">
        <v>4.0</v>
      </c>
      <c r="D78" s="1" t="s">
        <v>3914</v>
      </c>
      <c r="E78" s="1" t="s">
        <v>2882</v>
      </c>
      <c r="F78" s="1" t="s">
        <v>2978</v>
      </c>
      <c r="G78" s="1" t="s">
        <v>3915</v>
      </c>
      <c r="H78" s="1" t="s">
        <v>3915</v>
      </c>
      <c r="I78" s="1" t="s">
        <v>21</v>
      </c>
      <c r="J78" s="1" t="s">
        <v>3917</v>
      </c>
      <c r="K78">
        <v>-68.856626</v>
      </c>
      <c r="L78">
        <v>-32.892004</v>
      </c>
      <c r="O78" s="1" t="s">
        <v>3918</v>
      </c>
      <c r="P78">
        <f t="shared" si="1"/>
        <v>-32.892004</v>
      </c>
      <c r="Q78">
        <f>IFERROR(__xludf.DUMMYFUNCTION("""COMPUTED_VALUE"""),-68.856626)</f>
        <v>-68.856626</v>
      </c>
      <c r="R78" t="str">
        <f>IFERROR(__xludf.DUMMYFUNCTION("""COMPUTED_VALUE"""),"Arístides Villanueva 495, Mendoza , Argentina")</f>
        <v>Arístides Villanueva 495, Mendoza , Argentina</v>
      </c>
      <c r="S78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79">
      <c r="A79" s="1">
        <v>408.0</v>
      </c>
      <c r="B79" s="1" t="s">
        <v>24</v>
      </c>
      <c r="C79" s="1">
        <v>5.0</v>
      </c>
      <c r="D79" s="1" t="s">
        <v>3924</v>
      </c>
      <c r="E79" s="1" t="s">
        <v>2882</v>
      </c>
      <c r="F79" s="1" t="s">
        <v>2978</v>
      </c>
      <c r="G79" s="1" t="s">
        <v>3926</v>
      </c>
      <c r="H79" s="1" t="s">
        <v>3926</v>
      </c>
      <c r="I79" s="1" t="s">
        <v>21</v>
      </c>
      <c r="J79" s="1" t="s">
        <v>3928</v>
      </c>
      <c r="K79">
        <v>-68.85823</v>
      </c>
      <c r="L79">
        <v>-32.891644</v>
      </c>
      <c r="O79" s="1" t="s">
        <v>3930</v>
      </c>
      <c r="P79">
        <f t="shared" si="1"/>
        <v>-32.891644</v>
      </c>
      <c r="Q79">
        <f>IFERROR(__xludf.DUMMYFUNCTION("""COMPUTED_VALUE"""),-68.85823)</f>
        <v>-68.85823</v>
      </c>
      <c r="R79" t="str">
        <f>IFERROR(__xludf.DUMMYFUNCTION("""COMPUTED_VALUE"""),"Arístides Villanueva 521, Mendoza , Argentina")</f>
        <v>Arístides Villanueva 521, Mendoza , Argentina</v>
      </c>
      <c r="S79" t="str">
        <f>IFERROR(__xludf.DUMMYFUNCTION("""COMPUTED_VALUE"""),"Arístides Villanueva 521, Ciudad de Mendoza, Sección 5ª Residencial Sur, Mendoza, AR")</f>
        <v>Arístides Villanueva 521, Ciudad de Mendoza, Sección 5ª Residencial Sur, Mendoza, AR</v>
      </c>
    </row>
    <row r="80">
      <c r="A80" s="1">
        <v>410.0</v>
      </c>
      <c r="B80" s="1" t="s">
        <v>24</v>
      </c>
      <c r="C80" s="1">
        <v>5.0</v>
      </c>
      <c r="D80" s="1" t="s">
        <v>3932</v>
      </c>
      <c r="E80" s="1" t="s">
        <v>2882</v>
      </c>
      <c r="F80" s="1" t="s">
        <v>2978</v>
      </c>
      <c r="G80" s="1" t="s">
        <v>3933</v>
      </c>
      <c r="H80" s="1" t="s">
        <v>3933</v>
      </c>
      <c r="I80" s="1" t="s">
        <v>21</v>
      </c>
      <c r="J80" s="1" t="s">
        <v>3934</v>
      </c>
      <c r="K80">
        <v>-68.858536</v>
      </c>
      <c r="L80">
        <v>-32.891612</v>
      </c>
      <c r="O80" s="1" t="s">
        <v>3935</v>
      </c>
      <c r="P80">
        <f t="shared" si="1"/>
        <v>-32.891612</v>
      </c>
      <c r="Q80">
        <f>IFERROR(__xludf.DUMMYFUNCTION("""COMPUTED_VALUE"""),-68.858536)</f>
        <v>-68.858536</v>
      </c>
      <c r="R80" t="str">
        <f>IFERROR(__xludf.DUMMYFUNCTION("""COMPUTED_VALUE"""),"Arístides Villanueva 557, Mendoza , Argentina")</f>
        <v>Arístides Villanueva 557, Mendoza , Argentina</v>
      </c>
      <c r="S80" t="str">
        <f>IFERROR(__xludf.DUMMYFUNCTION("""COMPUTED_VALUE"""),"Arístides Villanueva 557, Ciudad de Mendoza, Sección 5ª Residencial Sur, Mendoza, AR")</f>
        <v>Arístides Villanueva 557, Ciudad de Mendoza, Sección 5ª Residencial Sur, Mendoza, AR</v>
      </c>
    </row>
    <row r="81">
      <c r="A81" s="1">
        <v>412.0</v>
      </c>
      <c r="B81" s="1" t="s">
        <v>24</v>
      </c>
      <c r="C81" s="1">
        <v>6.0</v>
      </c>
      <c r="D81" s="1" t="s">
        <v>3942</v>
      </c>
      <c r="E81" s="1" t="s">
        <v>2882</v>
      </c>
      <c r="F81" s="1" t="s">
        <v>2978</v>
      </c>
      <c r="G81" s="1" t="s">
        <v>3944</v>
      </c>
      <c r="H81" s="1" t="s">
        <v>3944</v>
      </c>
      <c r="I81" s="1" t="s">
        <v>21</v>
      </c>
      <c r="J81" s="1" t="s">
        <v>3946</v>
      </c>
      <c r="K81">
        <v>-68.856626</v>
      </c>
      <c r="L81">
        <v>-32.892004</v>
      </c>
      <c r="O81" s="1" t="s">
        <v>3948</v>
      </c>
      <c r="P81">
        <f t="shared" si="1"/>
        <v>-32.892004</v>
      </c>
      <c r="Q81">
        <f>IFERROR(__xludf.DUMMYFUNCTION("""COMPUTED_VALUE"""),-68.856626)</f>
        <v>-68.856626</v>
      </c>
      <c r="R81" t="str">
        <f>IFERROR(__xludf.DUMMYFUNCTION("""COMPUTED_VALUE"""),"Arístides Villanueva 607, Mendoza , Argentina")</f>
        <v>Arístides Villanueva 607, Mendoza , Argentina</v>
      </c>
      <c r="S81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2">
      <c r="A82" s="1">
        <v>415.0</v>
      </c>
      <c r="B82" s="1" t="s">
        <v>24</v>
      </c>
      <c r="C82" s="1">
        <v>6.0</v>
      </c>
      <c r="D82" s="1" t="s">
        <v>3952</v>
      </c>
      <c r="E82" s="1" t="s">
        <v>2882</v>
      </c>
      <c r="F82" s="1" t="s">
        <v>2978</v>
      </c>
      <c r="G82" s="1" t="s">
        <v>3955</v>
      </c>
      <c r="H82" s="1" t="s">
        <v>3956</v>
      </c>
      <c r="I82" s="1" t="s">
        <v>21</v>
      </c>
      <c r="J82" s="1" t="s">
        <v>3959</v>
      </c>
      <c r="K82">
        <v>-68.856626</v>
      </c>
      <c r="L82">
        <v>-32.892004</v>
      </c>
      <c r="O82" s="1" t="s">
        <v>3961</v>
      </c>
      <c r="P82">
        <f t="shared" si="1"/>
        <v>-32.892004</v>
      </c>
      <c r="Q82">
        <f>IFERROR(__xludf.DUMMYFUNCTION("""COMPUTED_VALUE"""),-68.856626)</f>
        <v>-68.856626</v>
      </c>
      <c r="R82" t="str">
        <f>IFERROR(__xludf.DUMMYFUNCTION("""COMPUTED_VALUE"""),"Arístides Villanueva 633, Mendoza , Argentina")</f>
        <v>Arístides Villanueva 633, Mendoza , Argentina</v>
      </c>
      <c r="S82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3">
      <c r="A83" s="1">
        <v>420.0</v>
      </c>
      <c r="B83" s="1" t="s">
        <v>24</v>
      </c>
      <c r="C83" s="1">
        <v>7.0</v>
      </c>
      <c r="D83" s="1" t="s">
        <v>3966</v>
      </c>
      <c r="E83" s="1" t="s">
        <v>2882</v>
      </c>
      <c r="F83" s="1" t="s">
        <v>2978</v>
      </c>
      <c r="G83" s="1" t="s">
        <v>3967</v>
      </c>
      <c r="H83" s="1" t="s">
        <v>3967</v>
      </c>
      <c r="I83" s="1" t="s">
        <v>21</v>
      </c>
      <c r="J83" s="1" t="s">
        <v>3969</v>
      </c>
      <c r="K83">
        <v>-68.856626</v>
      </c>
      <c r="L83">
        <v>-32.892004</v>
      </c>
      <c r="O83" s="1" t="s">
        <v>3972</v>
      </c>
      <c r="P83">
        <f t="shared" si="1"/>
        <v>-32.892004</v>
      </c>
      <c r="Q83">
        <f>IFERROR(__xludf.DUMMYFUNCTION("""COMPUTED_VALUE"""),-68.856626)</f>
        <v>-68.856626</v>
      </c>
      <c r="R83" t="str">
        <f>IFERROR(__xludf.DUMMYFUNCTION("""COMPUTED_VALUE"""),"Arístides Villanueva 721, Mendoza , Argentina")</f>
        <v>Arístides Villanueva 721, Mendoza , Argentina</v>
      </c>
      <c r="S83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4">
      <c r="A84" s="1">
        <v>423.0</v>
      </c>
      <c r="B84" s="1" t="s">
        <v>24</v>
      </c>
      <c r="C84" s="1">
        <v>7.0</v>
      </c>
      <c r="D84" s="1" t="s">
        <v>3977</v>
      </c>
      <c r="E84" s="1" t="s">
        <v>2882</v>
      </c>
      <c r="F84" s="1" t="s">
        <v>2978</v>
      </c>
      <c r="G84" s="1" t="s">
        <v>3979</v>
      </c>
      <c r="H84" s="1" t="s">
        <v>3979</v>
      </c>
      <c r="I84" s="1" t="s">
        <v>21</v>
      </c>
      <c r="J84" s="1" t="s">
        <v>3980</v>
      </c>
      <c r="K84">
        <v>-68.856626</v>
      </c>
      <c r="L84">
        <v>-32.892004</v>
      </c>
      <c r="O84" s="1" t="s">
        <v>3981</v>
      </c>
      <c r="P84">
        <f t="shared" si="1"/>
        <v>-32.892004</v>
      </c>
      <c r="Q84">
        <f>IFERROR(__xludf.DUMMYFUNCTION("""COMPUTED_VALUE"""),-68.856626)</f>
        <v>-68.856626</v>
      </c>
      <c r="R84" t="str">
        <f>IFERROR(__xludf.DUMMYFUNCTION("""COMPUTED_VALUE"""),"Arístides Villanueva 785, Mendoza , Argentina")</f>
        <v>Arístides Villanueva 785, Mendoza , Argentina</v>
      </c>
      <c r="S84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5">
      <c r="A85" s="1">
        <v>425.0</v>
      </c>
      <c r="B85" s="1" t="s">
        <v>24</v>
      </c>
      <c r="C85" s="1">
        <v>8.0</v>
      </c>
      <c r="D85" s="1" t="s">
        <v>3989</v>
      </c>
      <c r="E85" s="1" t="s">
        <v>2882</v>
      </c>
      <c r="F85" s="1" t="s">
        <v>2978</v>
      </c>
      <c r="G85" s="1" t="s">
        <v>3991</v>
      </c>
      <c r="H85" s="1" t="s">
        <v>3992</v>
      </c>
      <c r="I85" s="1" t="s">
        <v>21</v>
      </c>
      <c r="J85" s="1" t="s">
        <v>3993</v>
      </c>
      <c r="K85">
        <v>-68.856626</v>
      </c>
      <c r="L85">
        <v>-32.892004</v>
      </c>
      <c r="O85" s="1" t="s">
        <v>3994</v>
      </c>
      <c r="P85">
        <f t="shared" si="1"/>
        <v>-32.892004</v>
      </c>
      <c r="Q85">
        <f>IFERROR(__xludf.DUMMYFUNCTION("""COMPUTED_VALUE"""),-68.856626)</f>
        <v>-68.856626</v>
      </c>
      <c r="R85" t="str">
        <f>IFERROR(__xludf.DUMMYFUNCTION("""COMPUTED_VALUE"""),"Arístides Villanueva 758, Mendoza , Argentina")</f>
        <v>Arístides Villanueva 758, Mendoza , Argentina</v>
      </c>
      <c r="S85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6">
      <c r="A86" s="1">
        <v>428.0</v>
      </c>
      <c r="B86" s="1" t="s">
        <v>24</v>
      </c>
      <c r="C86" s="1">
        <v>9.0</v>
      </c>
      <c r="D86" s="1" t="s">
        <v>4000</v>
      </c>
      <c r="E86" s="1" t="s">
        <v>2882</v>
      </c>
      <c r="F86" s="1" t="s">
        <v>2978</v>
      </c>
      <c r="G86" s="1" t="s">
        <v>1993</v>
      </c>
      <c r="H86" s="1" t="s">
        <v>4001</v>
      </c>
      <c r="I86" s="1" t="s">
        <v>21</v>
      </c>
      <c r="J86" s="1" t="s">
        <v>1995</v>
      </c>
      <c r="K86">
        <v>-68.856626</v>
      </c>
      <c r="L86">
        <v>-32.892004</v>
      </c>
      <c r="O86" s="1" t="s">
        <v>4002</v>
      </c>
      <c r="P86">
        <f t="shared" si="1"/>
        <v>-32.892004</v>
      </c>
      <c r="Q86">
        <f>IFERROR(__xludf.DUMMYFUNCTION("""COMPUTED_VALUE"""),-68.856626)</f>
        <v>-68.856626</v>
      </c>
      <c r="R86" t="str">
        <f>IFERROR(__xludf.DUMMYFUNCTION("""COMPUTED_VALUE"""),"Arístides Villanueva 668, Mendoza , Argentina")</f>
        <v>Arístides Villanueva 668, Mendoza , Argentina</v>
      </c>
      <c r="S86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7">
      <c r="A87" s="1">
        <v>430.0</v>
      </c>
      <c r="B87" s="1" t="s">
        <v>24</v>
      </c>
      <c r="C87" s="1">
        <v>9.0</v>
      </c>
      <c r="D87" s="1" t="s">
        <v>4011</v>
      </c>
      <c r="E87" s="1" t="s">
        <v>2882</v>
      </c>
      <c r="F87" s="1" t="s">
        <v>2978</v>
      </c>
      <c r="G87" s="1" t="s">
        <v>4012</v>
      </c>
      <c r="H87" s="1" t="s">
        <v>4012</v>
      </c>
      <c r="I87" s="1" t="s">
        <v>21</v>
      </c>
      <c r="J87" s="1" t="s">
        <v>4023</v>
      </c>
      <c r="K87">
        <v>-68.856626</v>
      </c>
      <c r="L87">
        <v>-32.892004</v>
      </c>
      <c r="O87" s="1" t="s">
        <v>4024</v>
      </c>
      <c r="P87">
        <f t="shared" si="1"/>
        <v>-32.892004</v>
      </c>
      <c r="Q87">
        <f>IFERROR(__xludf.DUMMYFUNCTION("""COMPUTED_VALUE"""),-68.856626)</f>
        <v>-68.856626</v>
      </c>
      <c r="R87" t="str">
        <f>IFERROR(__xludf.DUMMYFUNCTION("""COMPUTED_VALUE"""),"Arístides Villanueva 662, Mendoza , Argentina")</f>
        <v>Arístides Villanueva 662, Mendoza , Argentina</v>
      </c>
      <c r="S87" t="str">
        <f>IFERROR(__xludf.DUMMYFUNCTION("""COMPUTED_VALUE"""),"Arístides Villanueva, Ciudad de Mendoza, Sección 5ª Residencial Sur, Mendoza, AR")</f>
        <v>Arístides Villanueva, Ciudad de Mendoza, Sección 5ª Residencial Sur, Mendoza, AR</v>
      </c>
    </row>
    <row r="88">
      <c r="A88" s="1">
        <v>431.0</v>
      </c>
      <c r="B88" s="1" t="s">
        <v>24</v>
      </c>
      <c r="C88" s="1">
        <v>9.0</v>
      </c>
      <c r="D88" s="1" t="s">
        <v>4032</v>
      </c>
      <c r="E88" s="1" t="s">
        <v>2882</v>
      </c>
      <c r="F88" s="1" t="s">
        <v>2978</v>
      </c>
      <c r="G88" s="1" t="s">
        <v>4034</v>
      </c>
      <c r="H88" s="1" t="s">
        <v>4034</v>
      </c>
      <c r="I88" s="1" t="s">
        <v>21</v>
      </c>
      <c r="J88" s="1" t="s">
        <v>4035</v>
      </c>
      <c r="K88">
        <v>-68.859847</v>
      </c>
      <c r="L88">
        <v>-32.891455</v>
      </c>
      <c r="O88" s="1" t="s">
        <v>4036</v>
      </c>
      <c r="P88">
        <f t="shared" si="1"/>
        <v>-32.891455</v>
      </c>
      <c r="Q88">
        <f>IFERROR(__xludf.DUMMYFUNCTION("""COMPUTED_VALUE"""),-68.859847)</f>
        <v>-68.859847</v>
      </c>
      <c r="R88" t="str">
        <f>IFERROR(__xludf.DUMMYFUNCTION("""COMPUTED_VALUE"""),"Arístides Villanueva 650, Mendoza , Argentina")</f>
        <v>Arístides Villanueva 650, Mendoza , Argentina</v>
      </c>
      <c r="S88" t="str">
        <f>IFERROR(__xludf.DUMMYFUNCTION("""COMPUTED_VALUE"""),"Arístides Villanueva 650, Ciudad de Mendoza, Sección 5ª Residencial Sur, Mendoza, AR")</f>
        <v>Arístides Villanueva 650, Ciudad de Mendoza, Sección 5ª Residencial Sur, Mendoza, AR</v>
      </c>
    </row>
    <row r="89">
      <c r="A89" s="1">
        <v>437.0</v>
      </c>
      <c r="B89" s="1" t="s">
        <v>24</v>
      </c>
      <c r="C89" s="1">
        <v>10.0</v>
      </c>
      <c r="D89" s="1" t="s">
        <v>4045</v>
      </c>
      <c r="E89" s="1" t="s">
        <v>2882</v>
      </c>
      <c r="F89" s="1" t="s">
        <v>2978</v>
      </c>
      <c r="G89" s="1" t="s">
        <v>4046</v>
      </c>
      <c r="H89" s="1" t="s">
        <v>4046</v>
      </c>
      <c r="I89" s="1" t="s">
        <v>21</v>
      </c>
      <c r="J89" s="1" t="s">
        <v>4048</v>
      </c>
      <c r="K89">
        <v>-68.858188</v>
      </c>
      <c r="L89">
        <v>-32.891789</v>
      </c>
      <c r="O89" s="1" t="s">
        <v>4049</v>
      </c>
      <c r="P89">
        <f t="shared" si="1"/>
        <v>-32.891789</v>
      </c>
      <c r="Q89">
        <f>IFERROR(__xludf.DUMMYFUNCTION("""COMPUTED_VALUE"""),-68.858188)</f>
        <v>-68.858188</v>
      </c>
      <c r="R89" t="str">
        <f>IFERROR(__xludf.DUMMYFUNCTION("""COMPUTED_VALUE"""),"Arístides Villanueva 480, Mendoza , Argentina")</f>
        <v>Arístides Villanueva 480, Mendoza , Argentina</v>
      </c>
      <c r="S89" t="str">
        <f>IFERROR(__xludf.DUMMYFUNCTION("""COMPUTED_VALUE"""),"Arístides Villanueva 480, Ciudad de Mendoza, Sección 5ª Residencial Sur, Mendoza, AR")</f>
        <v>Arístides Villanueva 480, Ciudad de Mendoza, Sección 5ª Residencial Sur, Mendoza, AR</v>
      </c>
    </row>
    <row r="90">
      <c r="A90" s="1">
        <v>445.0</v>
      </c>
      <c r="B90" s="1" t="s">
        <v>24</v>
      </c>
      <c r="C90" s="1">
        <v>11.0</v>
      </c>
      <c r="D90" s="1" t="s">
        <v>4052</v>
      </c>
      <c r="E90" s="1" t="s">
        <v>2882</v>
      </c>
      <c r="F90" s="1" t="s">
        <v>2978</v>
      </c>
      <c r="G90" s="1" t="s">
        <v>4054</v>
      </c>
      <c r="H90" s="1" t="s">
        <v>4054</v>
      </c>
      <c r="I90" s="1" t="s">
        <v>21</v>
      </c>
      <c r="J90" s="1" t="s">
        <v>4056</v>
      </c>
      <c r="K90">
        <v>-68.856168</v>
      </c>
      <c r="L90">
        <v>-32.892193</v>
      </c>
      <c r="O90" s="1" t="s">
        <v>4057</v>
      </c>
      <c r="P90">
        <f t="shared" si="1"/>
        <v>-32.892193</v>
      </c>
      <c r="Q90">
        <f>IFERROR(__xludf.DUMMYFUNCTION("""COMPUTED_VALUE"""),-68.856168)</f>
        <v>-68.856168</v>
      </c>
      <c r="R90" t="str">
        <f>IFERROR(__xludf.DUMMYFUNCTION("""COMPUTED_VALUE"""),"Arístides Villanueva 386, Mendoza , Argentina")</f>
        <v>Arístides Villanueva 386, Mendoza , Argentina</v>
      </c>
      <c r="S90" t="str">
        <f>IFERROR(__xludf.DUMMYFUNCTION("""COMPUTED_VALUE"""),"Arístides Villanueva 386, Ciudad de Mendoza, Sección 5ª Residencial Sur, Mendoza, AR")</f>
        <v>Arístides Villanueva 386, Ciudad de Mendoza, Sección 5ª Residencial Sur, Mendoza, AR</v>
      </c>
    </row>
    <row r="91">
      <c r="A91" s="1">
        <v>447.0</v>
      </c>
      <c r="B91" s="1" t="s">
        <v>24</v>
      </c>
      <c r="C91" s="1">
        <v>11.0</v>
      </c>
      <c r="D91" s="1" t="s">
        <v>4059</v>
      </c>
      <c r="E91" s="1" t="s">
        <v>2882</v>
      </c>
      <c r="F91" s="1" t="s">
        <v>2978</v>
      </c>
      <c r="G91" s="1" t="s">
        <v>88</v>
      </c>
      <c r="H91" s="1" t="s">
        <v>4060</v>
      </c>
      <c r="I91" s="1" t="s">
        <v>21</v>
      </c>
      <c r="J91" s="1" t="s">
        <v>92</v>
      </c>
      <c r="K91">
        <v>-68.856109</v>
      </c>
      <c r="L91">
        <v>-32.892181</v>
      </c>
      <c r="O91" s="1" t="s">
        <v>4061</v>
      </c>
      <c r="P91">
        <f t="shared" si="1"/>
        <v>-32.892181</v>
      </c>
      <c r="Q91">
        <f>IFERROR(__xludf.DUMMYFUNCTION("""COMPUTED_VALUE"""),-68.856109)</f>
        <v>-68.856109</v>
      </c>
      <c r="R91" t="str">
        <f>IFERROR(__xludf.DUMMYFUNCTION("""COMPUTED_VALUE"""),"Arístides Villanueva 372, Mendoza , Argentina")</f>
        <v>Arístides Villanueva 372, Mendoza , Argentina</v>
      </c>
      <c r="S91" t="str">
        <f>IFERROR(__xludf.DUMMYFUNCTION("""COMPUTED_VALUE"""),"Arístides Villanueva 372, Ciudad de Mendoza, Sección 5ª Residencial Sur, Mendoza, AR")</f>
        <v>Arístides Villanueva 372, Ciudad de Mendoza, Sección 5ª Residencial Sur, Mendoza, AR</v>
      </c>
    </row>
    <row r="92">
      <c r="A92" s="1">
        <v>452.0</v>
      </c>
      <c r="B92" s="1" t="s">
        <v>24</v>
      </c>
      <c r="C92" s="1">
        <v>11.0</v>
      </c>
      <c r="D92" s="1" t="s">
        <v>4065</v>
      </c>
      <c r="E92" s="1" t="s">
        <v>2882</v>
      </c>
      <c r="F92" s="1" t="s">
        <v>2978</v>
      </c>
      <c r="G92" s="1" t="s">
        <v>4066</v>
      </c>
      <c r="H92" s="1" t="s">
        <v>4066</v>
      </c>
      <c r="I92" s="1" t="s">
        <v>21</v>
      </c>
      <c r="J92" s="1" t="s">
        <v>4067</v>
      </c>
      <c r="K92">
        <v>-68.855401</v>
      </c>
      <c r="L92">
        <v>-32.892317</v>
      </c>
      <c r="O92" s="1" t="s">
        <v>4068</v>
      </c>
      <c r="P92">
        <f t="shared" si="1"/>
        <v>-32.892317</v>
      </c>
      <c r="Q92">
        <f>IFERROR(__xludf.DUMMYFUNCTION("""COMPUTED_VALUE"""),-68.855401)</f>
        <v>-68.855401</v>
      </c>
      <c r="R92" t="str">
        <f>IFERROR(__xludf.DUMMYFUNCTION("""COMPUTED_VALUE"""),"Arístides Villanueva 332, Mendoza , Argentina")</f>
        <v>Arístides Villanueva 332, Mendoza , Argentina</v>
      </c>
      <c r="S92" t="str">
        <f>IFERROR(__xludf.DUMMYFUNCTION("""COMPUTED_VALUE"""),"Arístides Villanueva 332, Ciudad de Mendoza, Sección 5ª Residencial Sur, Mendoza, AR")</f>
        <v>Arístides Villanueva 332, Ciudad de Mendoza, Sección 5ª Residencial Sur, Mendoza, AR</v>
      </c>
    </row>
    <row r="93">
      <c r="A93" s="1">
        <v>453.0</v>
      </c>
      <c r="B93" s="1" t="s">
        <v>24</v>
      </c>
      <c r="C93" s="1">
        <v>11.0</v>
      </c>
      <c r="D93" s="1" t="s">
        <v>4071</v>
      </c>
      <c r="E93" s="1" t="s">
        <v>2882</v>
      </c>
      <c r="F93" s="1" t="s">
        <v>2978</v>
      </c>
      <c r="G93" s="1" t="s">
        <v>4073</v>
      </c>
      <c r="H93" s="1" t="s">
        <v>4073</v>
      </c>
      <c r="I93" s="1" t="s">
        <v>21</v>
      </c>
      <c r="J93" s="1" t="s">
        <v>4074</v>
      </c>
      <c r="K93">
        <v>-68.855295</v>
      </c>
      <c r="L93">
        <v>-32.892337</v>
      </c>
      <c r="O93" s="1" t="s">
        <v>4075</v>
      </c>
      <c r="P93">
        <f t="shared" si="1"/>
        <v>-32.892337</v>
      </c>
      <c r="Q93">
        <f>IFERROR(__xludf.DUMMYFUNCTION("""COMPUTED_VALUE"""),-68.855295)</f>
        <v>-68.855295</v>
      </c>
      <c r="R93" t="str">
        <f>IFERROR(__xludf.DUMMYFUNCTION("""COMPUTED_VALUE"""),"Arístides Villanueva 326, Mendoza , Argentina")</f>
        <v>Arístides Villanueva 326, Mendoza , Argentina</v>
      </c>
      <c r="S93" t="str">
        <f>IFERROR(__xludf.DUMMYFUNCTION("""COMPUTED_VALUE"""),"Arístides Villanueva 326, Ciudad de Mendoza, Sección 5ª Residencial Sur, Mendoza, AR")</f>
        <v>Arístides Villanueva 326, Ciudad de Mendoza, Sección 5ª Residencial Sur, Mendoza, AR</v>
      </c>
    </row>
    <row r="94">
      <c r="A94" s="1">
        <v>456.0</v>
      </c>
      <c r="B94" s="1" t="s">
        <v>24</v>
      </c>
      <c r="C94" s="1">
        <v>11.0</v>
      </c>
      <c r="D94" s="1" t="s">
        <v>4076</v>
      </c>
      <c r="E94" s="1" t="s">
        <v>2882</v>
      </c>
      <c r="F94" s="1" t="s">
        <v>2978</v>
      </c>
      <c r="G94" s="1" t="s">
        <v>4077</v>
      </c>
      <c r="H94" s="1" t="s">
        <v>4077</v>
      </c>
      <c r="I94" s="1" t="s">
        <v>21</v>
      </c>
      <c r="J94" s="1" t="s">
        <v>4078</v>
      </c>
      <c r="K94">
        <v>-68.855107</v>
      </c>
      <c r="L94">
        <v>-32.892407</v>
      </c>
      <c r="O94" s="1" t="s">
        <v>4079</v>
      </c>
      <c r="P94">
        <f t="shared" si="1"/>
        <v>-32.892407</v>
      </c>
      <c r="Q94">
        <f>IFERROR(__xludf.DUMMYFUNCTION("""COMPUTED_VALUE"""),-68.855107)</f>
        <v>-68.855107</v>
      </c>
      <c r="R94" t="str">
        <f>IFERROR(__xludf.DUMMYFUNCTION("""COMPUTED_VALUE"""),"Arístides Villanueva 308, Mendoza , Argentina")</f>
        <v>Arístides Villanueva 308, Mendoza , Argentina</v>
      </c>
      <c r="S94" t="str">
        <f>IFERROR(__xludf.DUMMYFUNCTION("""COMPUTED_VALUE"""),"Arístides Villanueva 308, Ciudad de Mendoza, Sección 5ª Residencial Sur, Mendoza, AR")</f>
        <v>Arístides Villanueva 308, Ciudad de Mendoza, Sección 5ª Residencial Sur, Mendoza, AR</v>
      </c>
    </row>
    <row r="95">
      <c r="A95" s="1">
        <v>457.0</v>
      </c>
      <c r="B95" s="1" t="s">
        <v>24</v>
      </c>
      <c r="C95" s="1">
        <v>11.0</v>
      </c>
      <c r="D95" s="1" t="s">
        <v>4089</v>
      </c>
      <c r="E95" s="1" t="s">
        <v>2882</v>
      </c>
      <c r="F95" s="1" t="s">
        <v>2978</v>
      </c>
      <c r="G95" s="1" t="s">
        <v>4091</v>
      </c>
      <c r="H95" s="1" t="s">
        <v>4091</v>
      </c>
      <c r="I95" s="1" t="s">
        <v>21</v>
      </c>
      <c r="J95" s="1" t="s">
        <v>4093</v>
      </c>
      <c r="K95">
        <v>-68.854538</v>
      </c>
      <c r="L95">
        <v>-32.892472</v>
      </c>
      <c r="O95" s="1" t="s">
        <v>4095</v>
      </c>
      <c r="P95">
        <f t="shared" si="1"/>
        <v>-32.892472</v>
      </c>
      <c r="Q95">
        <f>IFERROR(__xludf.DUMMYFUNCTION("""COMPUTED_VALUE"""),-68.854538)</f>
        <v>-68.854538</v>
      </c>
      <c r="R95" t="str">
        <f>IFERROR(__xludf.DUMMYFUNCTION("""COMPUTED_VALUE"""),"Arístides Villanueva 290, Mendoza , Argentina")</f>
        <v>Arístides Villanueva 290, Mendoza , Argentina</v>
      </c>
      <c r="S95" t="str">
        <f>IFERROR(__xludf.DUMMYFUNCTION("""COMPUTED_VALUE"""),"Arístides Villanueva 290, Ciudad de Mendoza, Sección 5ª Residencial Sur, Mendoza, AR")</f>
        <v>Arístides Villanueva 290, Ciudad de Mendoza, Sección 5ª Residencial Sur, Mendoza, AR</v>
      </c>
    </row>
    <row r="96">
      <c r="A96" s="1">
        <v>458.0</v>
      </c>
      <c r="B96" s="1" t="s">
        <v>24</v>
      </c>
      <c r="C96" s="1">
        <v>12.0</v>
      </c>
      <c r="D96" s="1" t="s">
        <v>4100</v>
      </c>
      <c r="E96" s="1" t="s">
        <v>2882</v>
      </c>
      <c r="F96" s="1" t="s">
        <v>2978</v>
      </c>
      <c r="G96" s="1" t="s">
        <v>4102</v>
      </c>
      <c r="H96" s="1" t="s">
        <v>4102</v>
      </c>
      <c r="I96" s="1" t="s">
        <v>21</v>
      </c>
      <c r="J96" s="1" t="s">
        <v>4103</v>
      </c>
      <c r="K96">
        <v>-68.854408</v>
      </c>
      <c r="L96">
        <v>-32.892583</v>
      </c>
      <c r="O96" s="1" t="s">
        <v>4104</v>
      </c>
      <c r="P96">
        <f t="shared" si="1"/>
        <v>-32.892583</v>
      </c>
      <c r="Q96">
        <f>IFERROR(__xludf.DUMMYFUNCTION("""COMPUTED_VALUE"""),-68.854408)</f>
        <v>-68.854408</v>
      </c>
      <c r="R96" t="str">
        <f>IFERROR(__xludf.DUMMYFUNCTION("""COMPUTED_VALUE"""),"Arístides Villanueva 298, Mendoza , Argentina")</f>
        <v>Arístides Villanueva 298, Mendoza , Argentina</v>
      </c>
      <c r="S96" t="str">
        <f>IFERROR(__xludf.DUMMYFUNCTION("""COMPUTED_VALUE"""),"Arístides Villanueva 298, Ciudad de Mendoza, Sección 5ª Residencial Sur, Mendoza, AR")</f>
        <v>Arístides Villanueva 298, Ciudad de Mendoza, Sección 5ª Residencial Sur, Mendoza, AR</v>
      </c>
    </row>
    <row r="97">
      <c r="A97" s="1">
        <v>459.0</v>
      </c>
      <c r="B97" s="1" t="s">
        <v>24</v>
      </c>
      <c r="C97" s="1">
        <v>12.0</v>
      </c>
      <c r="D97" s="1" t="s">
        <v>4107</v>
      </c>
      <c r="E97" s="1" t="s">
        <v>2882</v>
      </c>
      <c r="F97" s="1" t="s">
        <v>2978</v>
      </c>
      <c r="G97" s="1" t="s">
        <v>4110</v>
      </c>
      <c r="H97" s="1" t="s">
        <v>4110</v>
      </c>
      <c r="I97" s="1" t="s">
        <v>21</v>
      </c>
      <c r="J97" s="1" t="s">
        <v>4112</v>
      </c>
      <c r="K97">
        <v>-68.85417</v>
      </c>
      <c r="L97">
        <v>-32.892625</v>
      </c>
      <c r="O97" s="1" t="s">
        <v>4115</v>
      </c>
      <c r="P97">
        <f t="shared" si="1"/>
        <v>-32.892625</v>
      </c>
      <c r="Q97">
        <f>IFERROR(__xludf.DUMMYFUNCTION("""COMPUTED_VALUE"""),-68.85417)</f>
        <v>-68.85417</v>
      </c>
      <c r="R97" t="str">
        <f>IFERROR(__xludf.DUMMYFUNCTION("""COMPUTED_VALUE"""),"Arístides Villanueva 282, Mendoza , Argentina")</f>
        <v>Arístides Villanueva 282, Mendoza , Argentina</v>
      </c>
      <c r="S97" t="str">
        <f>IFERROR(__xludf.DUMMYFUNCTION("""COMPUTED_VALUE"""),"Arístides Villanueva 282, Ciudad de Mendoza, Sección 5ª Residencial Sur, Mendoza, AR")</f>
        <v>Arístides Villanueva 282, Ciudad de Mendoza, Sección 5ª Residencial Sur, Mendoza, AR</v>
      </c>
    </row>
    <row r="98">
      <c r="A98" s="1">
        <v>460.0</v>
      </c>
      <c r="B98" s="1" t="s">
        <v>24</v>
      </c>
      <c r="C98" s="1">
        <v>12.0</v>
      </c>
      <c r="D98" s="1" t="s">
        <v>3628</v>
      </c>
      <c r="E98" s="1" t="s">
        <v>2882</v>
      </c>
      <c r="F98" s="1" t="s">
        <v>2978</v>
      </c>
      <c r="G98" s="1" t="s">
        <v>4121</v>
      </c>
      <c r="H98" s="1" t="s">
        <v>4121</v>
      </c>
      <c r="I98" s="1" t="s">
        <v>21</v>
      </c>
      <c r="J98" s="1" t="s">
        <v>4122</v>
      </c>
      <c r="K98">
        <v>-68.854166</v>
      </c>
      <c r="L98">
        <v>-32.892542</v>
      </c>
      <c r="O98" s="1" t="s">
        <v>4123</v>
      </c>
      <c r="P98">
        <f t="shared" si="1"/>
        <v>-32.892542</v>
      </c>
      <c r="Q98">
        <f>IFERROR(__xludf.DUMMYFUNCTION("""COMPUTED_VALUE"""),-68.854166)</f>
        <v>-68.854166</v>
      </c>
      <c r="R98" t="str">
        <f>IFERROR(__xludf.DUMMYFUNCTION("""COMPUTED_VALUE"""),"Arístides Villanueva 264, Mendoza , Argentina")</f>
        <v>Arístides Villanueva 264, Mendoza , Argentina</v>
      </c>
      <c r="S98" t="str">
        <f>IFERROR(__xludf.DUMMYFUNCTION("""COMPUTED_VALUE"""),"Arístides Villanueva 264, Ciudad de Mendoza, Sección 5ª Residencial Sur, Mendoza, AR")</f>
        <v>Arístides Villanueva 264, Ciudad de Mendoza, Sección 5ª Residencial Sur, Mendoza, AR</v>
      </c>
    </row>
    <row r="99">
      <c r="A99" s="1">
        <v>464.0</v>
      </c>
      <c r="B99" s="1" t="s">
        <v>24</v>
      </c>
      <c r="C99" s="1">
        <v>12.0</v>
      </c>
      <c r="D99" s="1" t="s">
        <v>4129</v>
      </c>
      <c r="E99" s="1" t="s">
        <v>2882</v>
      </c>
      <c r="F99" s="1" t="s">
        <v>2978</v>
      </c>
      <c r="G99" s="1" t="s">
        <v>4131</v>
      </c>
      <c r="H99" s="1" t="s">
        <v>4131</v>
      </c>
      <c r="I99" s="1" t="s">
        <v>21</v>
      </c>
      <c r="J99" s="1" t="s">
        <v>4132</v>
      </c>
      <c r="K99">
        <v>-68.853737</v>
      </c>
      <c r="L99">
        <v>-32.892622</v>
      </c>
      <c r="O99" s="1" t="s">
        <v>4133</v>
      </c>
      <c r="P99">
        <f t="shared" si="1"/>
        <v>-32.892622</v>
      </c>
      <c r="Q99">
        <f>IFERROR(__xludf.DUMMYFUNCTION("""COMPUTED_VALUE"""),-68.853737)</f>
        <v>-68.853737</v>
      </c>
      <c r="R99" t="str">
        <f>IFERROR(__xludf.DUMMYFUNCTION("""COMPUTED_VALUE"""),"Arístides Villanueva 234, Mendoza , Argentina")</f>
        <v>Arístides Villanueva 234, Mendoza , Argentina</v>
      </c>
      <c r="S99" t="str">
        <f>IFERROR(__xludf.DUMMYFUNCTION("""COMPUTED_VALUE"""),"Arístides Villanueva 234, Ciudad de Mendoza, Sección 5ª Residencial Sur, Mendoza, AR")</f>
        <v>Arístides Villanueva 234, Ciudad de Mendoza, Sección 5ª Residencial Sur, Mendoza, AR</v>
      </c>
    </row>
    <row r="100">
      <c r="A100" s="1">
        <v>465.0</v>
      </c>
      <c r="B100" s="1" t="s">
        <v>24</v>
      </c>
      <c r="C100" s="1">
        <v>12.0</v>
      </c>
      <c r="D100" s="1" t="s">
        <v>4136</v>
      </c>
      <c r="E100" s="1" t="s">
        <v>2882</v>
      </c>
      <c r="F100" s="1" t="s">
        <v>2978</v>
      </c>
      <c r="G100" s="1" t="s">
        <v>4137</v>
      </c>
      <c r="H100" s="1" t="s">
        <v>4138</v>
      </c>
      <c r="I100" s="1" t="s">
        <v>21</v>
      </c>
      <c r="J100" s="1" t="s">
        <v>4139</v>
      </c>
      <c r="K100">
        <v>-68.853594</v>
      </c>
      <c r="L100">
        <v>-32.892649</v>
      </c>
      <c r="O100" s="1" t="s">
        <v>4140</v>
      </c>
      <c r="P100">
        <f t="shared" si="1"/>
        <v>-32.892649</v>
      </c>
      <c r="Q100">
        <f>IFERROR(__xludf.DUMMYFUNCTION("""COMPUTED_VALUE"""),-68.853594)</f>
        <v>-68.853594</v>
      </c>
      <c r="R100" t="str">
        <f>IFERROR(__xludf.DUMMYFUNCTION("""COMPUTED_VALUE"""),"Arístides Villanueva 224, Mendoza , Argentina")</f>
        <v>Arístides Villanueva 224, Mendoza , Argentina</v>
      </c>
      <c r="S100" t="str">
        <f>IFERROR(__xludf.DUMMYFUNCTION("""COMPUTED_VALUE"""),"Arístides Villanueva 224, Ciudad de Mendoza, Sección 5ª Residencial Sur, Mendoza, AR")</f>
        <v>Arístides Villanueva 224, Ciudad de Mendoza, Sección 5ª Residencial Sur, Mendoza, AR</v>
      </c>
    </row>
    <row r="101">
      <c r="A101" s="1">
        <v>470.0</v>
      </c>
      <c r="B101" s="1" t="s">
        <v>24</v>
      </c>
      <c r="C101" s="1">
        <v>13.0</v>
      </c>
      <c r="D101" s="1" t="s">
        <v>4148</v>
      </c>
      <c r="E101" s="1" t="s">
        <v>2882</v>
      </c>
      <c r="F101" s="1" t="s">
        <v>2978</v>
      </c>
      <c r="G101" s="1" t="s">
        <v>4149</v>
      </c>
      <c r="H101" s="1" t="s">
        <v>4149</v>
      </c>
      <c r="I101" s="1" t="s">
        <v>21</v>
      </c>
      <c r="J101" s="1" t="s">
        <v>4150</v>
      </c>
      <c r="K101">
        <v>-68.852687</v>
      </c>
      <c r="L101">
        <v>-32.892798</v>
      </c>
      <c r="O101" s="1" t="s">
        <v>4151</v>
      </c>
      <c r="P101">
        <f t="shared" si="1"/>
        <v>-32.892798</v>
      </c>
      <c r="Q101">
        <f>IFERROR(__xludf.DUMMYFUNCTION("""COMPUTED_VALUE"""),-68.852687)</f>
        <v>-68.852687</v>
      </c>
      <c r="R101" t="str">
        <f>IFERROR(__xludf.DUMMYFUNCTION("""COMPUTED_VALUE"""),"Arístides Villanueva 176, Mendoza , Argentina")</f>
        <v>Arístides Villanueva 176, Mendoza , Argentina</v>
      </c>
      <c r="S101" t="str">
        <f>IFERROR(__xludf.DUMMYFUNCTION("""COMPUTED_VALUE"""),"Arístides Villanueva 176, Ciudad de Mendoza, Sección 5ª Residencial Sur, Mendoza, AR")</f>
        <v>Arístides Villanueva 176, Ciudad de Mendoza, Sección 5ª Residencial Sur, Mendoza, AR</v>
      </c>
    </row>
    <row r="102">
      <c r="A102" s="1">
        <v>472.0</v>
      </c>
      <c r="B102" s="1" t="s">
        <v>24</v>
      </c>
      <c r="C102" s="1">
        <v>13.0</v>
      </c>
      <c r="D102" s="1" t="s">
        <v>4153</v>
      </c>
      <c r="E102" s="1" t="s">
        <v>2882</v>
      </c>
      <c r="F102" s="1" t="s">
        <v>2978</v>
      </c>
      <c r="G102" s="1" t="s">
        <v>4155</v>
      </c>
      <c r="H102" s="1" t="s">
        <v>4155</v>
      </c>
      <c r="I102" s="1" t="s">
        <v>21</v>
      </c>
      <c r="J102" s="1" t="s">
        <v>4157</v>
      </c>
      <c r="K102">
        <v>-68.852568</v>
      </c>
      <c r="L102">
        <v>-32.892818</v>
      </c>
      <c r="O102" s="1" t="s">
        <v>4159</v>
      </c>
      <c r="P102">
        <f t="shared" si="1"/>
        <v>-32.892818</v>
      </c>
      <c r="Q102">
        <f>IFERROR(__xludf.DUMMYFUNCTION("""COMPUTED_VALUE"""),-68.852568)</f>
        <v>-68.852568</v>
      </c>
      <c r="R102" t="str">
        <f>IFERROR(__xludf.DUMMYFUNCTION("""COMPUTED_VALUE"""),"Arístides Villanueva 168, Mendoza , Argentina")</f>
        <v>Arístides Villanueva 168, Mendoza , Argentina</v>
      </c>
      <c r="S102" t="str">
        <f>IFERROR(__xludf.DUMMYFUNCTION("""COMPUTED_VALUE"""),"Arístides Villanueva 168, Ciudad de Mendoza, Sección 5ª Residencial Sur, Mendoza, AR")</f>
        <v>Arístides Villanueva 168, Ciudad de Mendoza, Sección 5ª Residencial Sur, Mendoza, AR</v>
      </c>
    </row>
    <row r="103">
      <c r="A103" s="1">
        <v>477.0</v>
      </c>
      <c r="B103" s="1" t="s">
        <v>24</v>
      </c>
      <c r="C103" s="1">
        <v>13.0</v>
      </c>
      <c r="D103" s="1" t="s">
        <v>3533</v>
      </c>
      <c r="E103" s="1" t="s">
        <v>2882</v>
      </c>
      <c r="F103" s="1" t="s">
        <v>2978</v>
      </c>
      <c r="G103" s="1" t="s">
        <v>4163</v>
      </c>
      <c r="H103" s="1" t="s">
        <v>4163</v>
      </c>
      <c r="I103" s="1" t="s">
        <v>21</v>
      </c>
      <c r="J103" s="1" t="s">
        <v>4164</v>
      </c>
      <c r="K103">
        <v>-68.852427</v>
      </c>
      <c r="L103">
        <v>-32.892847</v>
      </c>
      <c r="O103" s="1" t="s">
        <v>4166</v>
      </c>
      <c r="P103">
        <f t="shared" si="1"/>
        <v>-32.892847</v>
      </c>
      <c r="Q103">
        <f>IFERROR(__xludf.DUMMYFUNCTION("""COMPUTED_VALUE"""),-68.852427)</f>
        <v>-68.852427</v>
      </c>
      <c r="R103" t="str">
        <f>IFERROR(__xludf.DUMMYFUNCTION("""COMPUTED_VALUE"""),"Arístides Villanueva 142, Mendoza , Argentina")</f>
        <v>Arístides Villanueva 142, Mendoza , Argentina</v>
      </c>
      <c r="S103" t="str">
        <f>IFERROR(__xludf.DUMMYFUNCTION("""COMPUTED_VALUE"""),"Arístides Villanueva 142, Ciudad de Mendoza, Sección 5ª Residencial Sur, Mendoza, AR")</f>
        <v>Arístides Villanueva 142, Ciudad de Mendoza, Sección 5ª Residencial Sur, Mendoza, AR</v>
      </c>
    </row>
    <row r="104">
      <c r="A104" s="1">
        <v>484.0</v>
      </c>
      <c r="B104" s="1" t="s">
        <v>109</v>
      </c>
      <c r="C104" s="1">
        <v>1.0</v>
      </c>
      <c r="D104" s="1" t="s">
        <v>4169</v>
      </c>
      <c r="E104" s="1" t="s">
        <v>2882</v>
      </c>
      <c r="F104" s="1" t="s">
        <v>2978</v>
      </c>
      <c r="G104" s="1" t="s">
        <v>4172</v>
      </c>
      <c r="H104" s="1" t="s">
        <v>4172</v>
      </c>
      <c r="I104" s="1" t="s">
        <v>21</v>
      </c>
      <c r="J104" s="1" t="s">
        <v>4173</v>
      </c>
      <c r="K104">
        <v>-68.839736</v>
      </c>
      <c r="L104">
        <v>-32.892067</v>
      </c>
      <c r="O104" s="1" t="s">
        <v>4175</v>
      </c>
      <c r="P104">
        <f t="shared" si="1"/>
        <v>-32.892067</v>
      </c>
      <c r="Q104">
        <f>IFERROR(__xludf.DUMMYFUNCTION("""COMPUTED_VALUE"""),-68.839736)</f>
        <v>-68.839736</v>
      </c>
      <c r="R104" t="str">
        <f>IFERROR(__xludf.DUMMYFUNCTION("""COMPUTED_VALUE"""),"Av, San Martín 977, Mendoza , Argentina")</f>
        <v>Av, San Martín 977, Mendoza , Argentina</v>
      </c>
      <c r="S104" t="str">
        <f>IFERROR(__xludf.DUMMYFUNCTION("""COMPUTED_VALUE"""),"Avenida San Martín 977, Mendoza, Sección 2ª Barrio Cívico, Mendoza, AR")</f>
        <v>Avenida San Martín 977, Mendoza, Sección 2ª Barrio Cívico, Mendoza, AR</v>
      </c>
    </row>
    <row r="105">
      <c r="A105" s="1">
        <v>496.0</v>
      </c>
      <c r="B105" s="1" t="s">
        <v>109</v>
      </c>
      <c r="C105" s="1">
        <v>3.0</v>
      </c>
      <c r="D105" s="1" t="s">
        <v>4179</v>
      </c>
      <c r="E105" s="1" t="s">
        <v>2882</v>
      </c>
      <c r="F105" s="1" t="s">
        <v>2978</v>
      </c>
      <c r="G105" s="1" t="s">
        <v>1600</v>
      </c>
      <c r="H105" s="1" t="s">
        <v>4181</v>
      </c>
      <c r="I105" s="1" t="s">
        <v>21</v>
      </c>
      <c r="J105" s="1" t="s">
        <v>1602</v>
      </c>
      <c r="K105">
        <v>-68.844774</v>
      </c>
      <c r="L105">
        <v>-32.911693</v>
      </c>
      <c r="O105" s="1" t="s">
        <v>4184</v>
      </c>
      <c r="P105">
        <f t="shared" si="1"/>
        <v>-32.911693</v>
      </c>
      <c r="Q105">
        <f>IFERROR(__xludf.DUMMYFUNCTION("""COMPUTED_VALUE"""),-68.844774)</f>
        <v>-68.844774</v>
      </c>
      <c r="R105" t="str">
        <f>IFERROR(__xludf.DUMMYFUNCTION("""COMPUTED_VALUE"""),"Av, San Martín 1213, Mendoza , Argentina")</f>
        <v>Av, San Martín 1213, Mendoza , Argentina</v>
      </c>
      <c r="S105" t="str">
        <f>IFERROR(__xludf.DUMMYFUNCTION("""COMPUTED_VALUE"""),"Avenida San Martín 1213, General Espejo, Departamento Godoy Cruz, Mendoza, AR")</f>
        <v>Avenida San Martín 1213, General Espejo, Departamento Godoy Cruz, Mendoza, AR</v>
      </c>
    </row>
    <row r="106">
      <c r="A106" s="1">
        <v>498.0</v>
      </c>
      <c r="B106" s="1" t="s">
        <v>109</v>
      </c>
      <c r="C106" s="1">
        <v>3.0</v>
      </c>
      <c r="D106" s="1" t="s">
        <v>2050</v>
      </c>
      <c r="E106" s="1" t="s">
        <v>2882</v>
      </c>
      <c r="F106" s="1" t="s">
        <v>2978</v>
      </c>
      <c r="G106" s="1" t="s">
        <v>4190</v>
      </c>
      <c r="H106" s="1" t="s">
        <v>4190</v>
      </c>
      <c r="I106" s="1" t="s">
        <v>21</v>
      </c>
      <c r="J106" s="1" t="s">
        <v>4191</v>
      </c>
      <c r="K106">
        <v>-68.839118</v>
      </c>
      <c r="L106">
        <v>-32.889735</v>
      </c>
      <c r="O106" s="1" t="s">
        <v>4192</v>
      </c>
      <c r="P106">
        <f t="shared" si="1"/>
        <v>-32.889735</v>
      </c>
      <c r="Q106">
        <f>IFERROR(__xludf.DUMMYFUNCTION("""COMPUTED_VALUE"""),-68.839118)</f>
        <v>-68.839118</v>
      </c>
      <c r="R106" t="str">
        <f>IFERROR(__xludf.DUMMYFUNCTION("""COMPUTED_VALUE"""),"Av, San Martín 1177, Mendoza , Argentina")</f>
        <v>Av, San Martín 1177, Mendoza , Argentina</v>
      </c>
      <c r="S106" t="str">
        <f>IFERROR(__xludf.DUMMYFUNCTION("""COMPUTED_VALUE"""),"Avenida San Martín 1177, Ciudad de Mendoza, Sección 3ª Parque O'Higgins, Mendoza, AR")</f>
        <v>Avenida San Martín 1177, Ciudad de Mendoza, Sección 3ª Parque O'Higgins, Mendoza, AR</v>
      </c>
    </row>
    <row r="107">
      <c r="A107" s="1">
        <v>499.0</v>
      </c>
      <c r="B107" s="1" t="s">
        <v>109</v>
      </c>
      <c r="C107" s="1">
        <v>3.0</v>
      </c>
      <c r="D107" s="1" t="s">
        <v>2992</v>
      </c>
      <c r="E107" s="1" t="s">
        <v>2882</v>
      </c>
      <c r="F107" s="1" t="s">
        <v>2978</v>
      </c>
      <c r="G107" s="1" t="s">
        <v>4201</v>
      </c>
      <c r="H107" s="1" t="s">
        <v>4201</v>
      </c>
      <c r="I107" s="1" t="s">
        <v>21</v>
      </c>
      <c r="J107" s="1" t="s">
        <v>4202</v>
      </c>
      <c r="K107">
        <v>-68.839136</v>
      </c>
      <c r="L107">
        <v>-32.889821</v>
      </c>
      <c r="O107" s="1" t="s">
        <v>4203</v>
      </c>
      <c r="P107">
        <f t="shared" si="1"/>
        <v>-32.889821</v>
      </c>
      <c r="Q107">
        <f>IFERROR(__xludf.DUMMYFUNCTION("""COMPUTED_VALUE"""),-68.839136)</f>
        <v>-68.839136</v>
      </c>
      <c r="R107" t="str">
        <f>IFERROR(__xludf.DUMMYFUNCTION("""COMPUTED_VALUE"""),"Av, San Martín 1175, Mendoza , Argentina")</f>
        <v>Av, San Martín 1175, Mendoza , Argentina</v>
      </c>
      <c r="S107" t="str">
        <f>IFERROR(__xludf.DUMMYFUNCTION("""COMPUTED_VALUE"""),"Avenida San Martín 1175, Ciudad de Mendoza, Sección 3ª Parque O'Higgins, Mendoza, AR")</f>
        <v>Avenida San Martín 1175, Ciudad de Mendoza, Sección 3ª Parque O'Higgins, Mendoza, AR</v>
      </c>
    </row>
    <row r="108">
      <c r="A108" s="1">
        <v>516.0</v>
      </c>
      <c r="B108" s="1" t="s">
        <v>109</v>
      </c>
      <c r="C108" s="1">
        <v>5.0</v>
      </c>
      <c r="D108" s="1" t="s">
        <v>4211</v>
      </c>
      <c r="E108" s="1" t="s">
        <v>2882</v>
      </c>
      <c r="F108" s="1" t="s">
        <v>2978</v>
      </c>
      <c r="G108" s="1" t="s">
        <v>4213</v>
      </c>
      <c r="H108" s="1" t="s">
        <v>4213</v>
      </c>
      <c r="I108" s="1" t="s">
        <v>21</v>
      </c>
      <c r="J108" s="1" t="s">
        <v>4214</v>
      </c>
      <c r="K108">
        <v>-68.832452</v>
      </c>
      <c r="L108">
        <v>-32.864375</v>
      </c>
      <c r="O108" s="1" t="s">
        <v>4215</v>
      </c>
      <c r="P108">
        <f t="shared" si="1"/>
        <v>-32.864375</v>
      </c>
      <c r="Q108">
        <f>IFERROR(__xludf.DUMMYFUNCTION("""COMPUTED_VALUE"""),-68.832452)</f>
        <v>-68.832452</v>
      </c>
      <c r="R108" t="str">
        <f>IFERROR(__xludf.DUMMYFUNCTION("""COMPUTED_VALUE"""),"Av, San Martín 1371, Mendoza , Argentina")</f>
        <v>Av, San Martín 1371, Mendoza , Argentina</v>
      </c>
      <c r="S108" t="str">
        <f>IFERROR(__xludf.DUMMYFUNCTION("""COMPUTED_VALUE"""),"Avenida San Martín, Ciudad de Mendoza, Sección 4ª Oeste y Área Fundacional, Mendoza, AR")</f>
        <v>Avenida San Martín, Ciudad de Mendoza, Sección 4ª Oeste y Área Fundacional, Mendoza, AR</v>
      </c>
    </row>
    <row r="109">
      <c r="A109" s="1">
        <v>525.0</v>
      </c>
      <c r="B109" s="1" t="s">
        <v>109</v>
      </c>
      <c r="C109" s="1">
        <v>6.0</v>
      </c>
      <c r="D109" s="1" t="s">
        <v>2310</v>
      </c>
      <c r="E109" s="1" t="s">
        <v>2882</v>
      </c>
      <c r="F109" s="1" t="s">
        <v>2978</v>
      </c>
      <c r="G109" s="1" t="s">
        <v>4219</v>
      </c>
      <c r="H109" s="1" t="s">
        <v>4219</v>
      </c>
      <c r="I109" s="1" t="s">
        <v>21</v>
      </c>
      <c r="J109" s="1" t="s">
        <v>4220</v>
      </c>
      <c r="K109">
        <v>-68.83804</v>
      </c>
      <c r="L109">
        <v>-32.885271</v>
      </c>
      <c r="O109" s="1" t="s">
        <v>4221</v>
      </c>
      <c r="P109">
        <f t="shared" si="1"/>
        <v>-32.885271</v>
      </c>
      <c r="Q109">
        <f>IFERROR(__xludf.DUMMYFUNCTION("""COMPUTED_VALUE"""),-68.83804)</f>
        <v>-68.83804</v>
      </c>
      <c r="R109" t="str">
        <f>IFERROR(__xludf.DUMMYFUNCTION("""COMPUTED_VALUE"""),"Av, San Martín 1485, Mendoza , Argentina")</f>
        <v>Av, San Martín 1485, Mendoza , Argentina</v>
      </c>
      <c r="S10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10">
      <c r="A110" s="1">
        <v>573.0</v>
      </c>
      <c r="B110" s="1" t="s">
        <v>109</v>
      </c>
      <c r="C110" s="1">
        <v>8.0</v>
      </c>
      <c r="D110" s="1" t="s">
        <v>4228</v>
      </c>
      <c r="E110" s="1" t="s">
        <v>2882</v>
      </c>
      <c r="F110" s="1" t="s">
        <v>2978</v>
      </c>
      <c r="G110" s="1" t="s">
        <v>4230</v>
      </c>
      <c r="H110" s="1" t="s">
        <v>4230</v>
      </c>
      <c r="I110" s="1" t="s">
        <v>21</v>
      </c>
      <c r="J110" s="1" t="s">
        <v>4232</v>
      </c>
      <c r="K110">
        <v>-67.688023</v>
      </c>
      <c r="L110">
        <v>-34.979176</v>
      </c>
      <c r="O110" s="1" t="s">
        <v>4233</v>
      </c>
      <c r="P110">
        <f t="shared" si="1"/>
        <v>-34.979176</v>
      </c>
      <c r="Q110">
        <f>IFERROR(__xludf.DUMMYFUNCTION("""COMPUTED_VALUE"""),-67.688023)</f>
        <v>-67.688023</v>
      </c>
      <c r="R110" t="str">
        <f>IFERROR(__xludf.DUMMYFUNCTION("""COMPUTED_VALUE"""),"Godoy Cruz 12, Mendoza , Argentina")</f>
        <v>Godoy Cruz 12, Mendoza , Argentina</v>
      </c>
      <c r="S110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11">
      <c r="A111" s="1">
        <v>585.0</v>
      </c>
      <c r="B111" s="1" t="s">
        <v>109</v>
      </c>
      <c r="C111" s="1">
        <v>9.0</v>
      </c>
      <c r="D111" s="1" t="s">
        <v>4235</v>
      </c>
      <c r="E111" s="1" t="s">
        <v>2882</v>
      </c>
      <c r="F111" s="1" t="s">
        <v>2978</v>
      </c>
      <c r="G111" s="1" t="s">
        <v>4238</v>
      </c>
      <c r="H111" s="1" t="s">
        <v>4238</v>
      </c>
      <c r="I111" s="1" t="s">
        <v>21</v>
      </c>
      <c r="J111" s="1" t="s">
        <v>4240</v>
      </c>
      <c r="K111">
        <v>-68.838397</v>
      </c>
      <c r="L111">
        <v>-32.886445</v>
      </c>
      <c r="O111" s="1" t="s">
        <v>4241</v>
      </c>
      <c r="P111">
        <f t="shared" si="1"/>
        <v>-32.886445</v>
      </c>
      <c r="Q111">
        <f>IFERROR(__xludf.DUMMYFUNCTION("""COMPUTED_VALUE"""),-68.838397)</f>
        <v>-68.838397</v>
      </c>
      <c r="R111" t="str">
        <f>IFERROR(__xludf.DUMMYFUNCTION("""COMPUTED_VALUE"""),"Av, San Martín 1500, Mendoza , Argentina")</f>
        <v>Av, San Martín 1500, Mendoza , Argentina</v>
      </c>
      <c r="S111" t="str">
        <f>IFERROR(__xludf.DUMMYFUNCTION("""COMPUTED_VALUE"""),"Avenida San Martín 1500, Ciudad de Mendoza, Sección 3ª Parque O'Higgins, Mendoza, AR")</f>
        <v>Avenida San Martín 1500, Ciudad de Mendoza, Sección 3ª Parque O'Higgins, Mendoza, AR</v>
      </c>
    </row>
    <row r="112">
      <c r="A112" s="1">
        <v>590.0</v>
      </c>
      <c r="B112" s="1" t="s">
        <v>109</v>
      </c>
      <c r="C112" s="1">
        <v>10.0</v>
      </c>
      <c r="D112" s="1" t="s">
        <v>4247</v>
      </c>
      <c r="E112" s="1" t="s">
        <v>2882</v>
      </c>
      <c r="F112" s="1" t="s">
        <v>2978</v>
      </c>
      <c r="G112" s="1" t="s">
        <v>4249</v>
      </c>
      <c r="H112" s="1" t="s">
        <v>4249</v>
      </c>
      <c r="I112" s="1" t="s">
        <v>21</v>
      </c>
      <c r="J112" s="1" t="s">
        <v>4251</v>
      </c>
      <c r="K112">
        <v>-68.838641</v>
      </c>
      <c r="L112">
        <v>-32.887362</v>
      </c>
      <c r="O112" s="1" t="s">
        <v>4252</v>
      </c>
      <c r="P112">
        <f t="shared" si="1"/>
        <v>-32.887362</v>
      </c>
      <c r="Q112">
        <f>IFERROR(__xludf.DUMMYFUNCTION("""COMPUTED_VALUE"""),-68.838641)</f>
        <v>-68.838641</v>
      </c>
      <c r="R112" t="str">
        <f>IFERROR(__xludf.DUMMYFUNCTION("""COMPUTED_VALUE"""),"Av, San Martín 1404, Mendoza , Argentina")</f>
        <v>Av, San Martín 1404, Mendoza , Argentina</v>
      </c>
      <c r="S112" t="str">
        <f>IFERROR(__xludf.DUMMYFUNCTION("""COMPUTED_VALUE"""),"Avenida San Martín 1404, Ciudad de Mendoza, Sección 3ª Parque O'Higgins, Mendoza, AR")</f>
        <v>Avenida San Martín 1404, Ciudad de Mendoza, Sección 3ª Parque O'Higgins, Mendoza, AR</v>
      </c>
    </row>
    <row r="113">
      <c r="A113" s="1">
        <v>625.0</v>
      </c>
      <c r="B113" s="1" t="s">
        <v>109</v>
      </c>
      <c r="C113" s="1">
        <v>13.0</v>
      </c>
      <c r="D113" s="1" t="s">
        <v>4258</v>
      </c>
      <c r="E113" s="1" t="s">
        <v>2882</v>
      </c>
      <c r="F113" s="1" t="s">
        <v>2978</v>
      </c>
      <c r="G113" s="1" t="s">
        <v>4261</v>
      </c>
      <c r="H113" s="1" t="s">
        <v>4261</v>
      </c>
      <c r="I113" s="1" t="s">
        <v>21</v>
      </c>
      <c r="J113" s="1" t="s">
        <v>4263</v>
      </c>
      <c r="K113">
        <v>-68.83927</v>
      </c>
      <c r="L113">
        <v>-32.889829</v>
      </c>
      <c r="O113" s="1" t="s">
        <v>4265</v>
      </c>
      <c r="P113">
        <f t="shared" si="1"/>
        <v>-32.889829</v>
      </c>
      <c r="Q113">
        <f>IFERROR(__xludf.DUMMYFUNCTION("""COMPUTED_VALUE"""),-68.83927)</f>
        <v>-68.83927</v>
      </c>
      <c r="R113" t="str">
        <f>IFERROR(__xludf.DUMMYFUNCTION("""COMPUTED_VALUE"""),"Av, San Martín 1184, Mendoza , Argentina")</f>
        <v>Av, San Martín 1184, Mendoza , Argentina</v>
      </c>
      <c r="S113" t="str">
        <f>IFERROR(__xludf.DUMMYFUNCTION("""COMPUTED_VALUE"""),"Avenida San Martín 1184, Ciudad de Mendoza, Sección 3ª Parque O'Higgins, Mendoza, AR")</f>
        <v>Avenida San Martín 1184, Ciudad de Mendoza, Sección 3ª Parque O'Higgins, Mendoza, AR</v>
      </c>
    </row>
    <row r="114">
      <c r="A114" s="1">
        <v>628.0</v>
      </c>
      <c r="B114" s="1" t="s">
        <v>109</v>
      </c>
      <c r="C114" s="1">
        <v>14.0</v>
      </c>
      <c r="D114" s="1" t="s">
        <v>4268</v>
      </c>
      <c r="E114" s="1" t="s">
        <v>2882</v>
      </c>
      <c r="F114" s="1" t="s">
        <v>2978</v>
      </c>
      <c r="G114" s="1" t="s">
        <v>4270</v>
      </c>
      <c r="H114" s="1" t="s">
        <v>4270</v>
      </c>
      <c r="I114" s="1" t="s">
        <v>21</v>
      </c>
      <c r="J114" s="1" t="s">
        <v>4272</v>
      </c>
      <c r="K114">
        <v>-68.83979</v>
      </c>
      <c r="L114">
        <v>-32.891707</v>
      </c>
      <c r="O114" s="1" t="s">
        <v>4275</v>
      </c>
      <c r="P114">
        <f t="shared" si="1"/>
        <v>-32.891707</v>
      </c>
      <c r="Q114">
        <f>IFERROR(__xludf.DUMMYFUNCTION("""COMPUTED_VALUE"""),-68.83979)</f>
        <v>-68.83979</v>
      </c>
      <c r="R114" t="str">
        <f>IFERROR(__xludf.DUMMYFUNCTION("""COMPUTED_VALUE"""),"Av, San Martín 1002, Mendoza , Argentina")</f>
        <v>Av, San Martín 1002, Mendoza , Argentina</v>
      </c>
      <c r="S114" t="str">
        <f>IFERROR(__xludf.DUMMYFUNCTION("""COMPUTED_VALUE"""),"Avenida San Martín 1002, Ciudad de Mendoza, Sección 3ª Parque O'Higgins, Mendoza, AR")</f>
        <v>Avenida San Martín 1002, Ciudad de Mendoza, Sección 3ª Parque O'Higgins, Mendoza, AR</v>
      </c>
    </row>
    <row r="115">
      <c r="A115" s="1">
        <v>630.0</v>
      </c>
      <c r="B115" s="1" t="s">
        <v>109</v>
      </c>
      <c r="C115" s="1">
        <v>14.0</v>
      </c>
      <c r="D115" s="1" t="s">
        <v>4281</v>
      </c>
      <c r="E115" s="1" t="s">
        <v>2882</v>
      </c>
      <c r="F115" s="1" t="s">
        <v>2978</v>
      </c>
      <c r="G115" s="1" t="s">
        <v>4282</v>
      </c>
      <c r="H115" s="1" t="s">
        <v>4282</v>
      </c>
      <c r="I115" s="1" t="s">
        <v>21</v>
      </c>
      <c r="J115" s="1" t="s">
        <v>4284</v>
      </c>
      <c r="K115">
        <v>-68.839743</v>
      </c>
      <c r="L115">
        <v>-32.891531</v>
      </c>
      <c r="O115" s="1" t="s">
        <v>4285</v>
      </c>
      <c r="P115">
        <f t="shared" si="1"/>
        <v>-32.891531</v>
      </c>
      <c r="Q115">
        <f>IFERROR(__xludf.DUMMYFUNCTION("""COMPUTED_VALUE"""),-68.839743)</f>
        <v>-68.839743</v>
      </c>
      <c r="R115" t="str">
        <f>IFERROR(__xludf.DUMMYFUNCTION("""COMPUTED_VALUE"""),"Av, San Martín 1020, Mendoza , Argentina")</f>
        <v>Av, San Martín 1020, Mendoza , Argentina</v>
      </c>
      <c r="S115" t="str">
        <f>IFERROR(__xludf.DUMMYFUNCTION("""COMPUTED_VALUE"""),"Avenida San Martín 1020, Ciudad de Mendoza, Sección 3ª Parque O'Higgins, Mendoza, AR")</f>
        <v>Avenida San Martín 1020, Ciudad de Mendoza, Sección 3ª Parque O'Higgins, Mendoza, AR</v>
      </c>
    </row>
    <row r="116">
      <c r="A116" s="1">
        <v>636.0</v>
      </c>
      <c r="B116" s="1" t="s">
        <v>109</v>
      </c>
      <c r="C116" s="1">
        <v>14.0</v>
      </c>
      <c r="D116" s="1" t="s">
        <v>4291</v>
      </c>
      <c r="E116" s="1" t="s">
        <v>2882</v>
      </c>
      <c r="F116" s="1" t="s">
        <v>2978</v>
      </c>
      <c r="G116" s="1" t="s">
        <v>4292</v>
      </c>
      <c r="H116" s="1" t="s">
        <v>4292</v>
      </c>
      <c r="I116" s="1" t="s">
        <v>21</v>
      </c>
      <c r="J116" s="1" t="s">
        <v>4293</v>
      </c>
      <c r="K116">
        <v>-68.839612</v>
      </c>
      <c r="L116">
        <v>-32.891043</v>
      </c>
      <c r="O116" s="1" t="s">
        <v>4294</v>
      </c>
      <c r="P116">
        <f t="shared" si="1"/>
        <v>-32.891043</v>
      </c>
      <c r="Q116">
        <f>IFERROR(__xludf.DUMMYFUNCTION("""COMPUTED_VALUE"""),-68.839612)</f>
        <v>-68.839612</v>
      </c>
      <c r="R116" t="str">
        <f>IFERROR(__xludf.DUMMYFUNCTION("""COMPUTED_VALUE"""),"Av, San Martín 1070, Mendoza , Argentina")</f>
        <v>Av, San Martín 1070, Mendoza , Argentina</v>
      </c>
      <c r="S116" t="str">
        <f>IFERROR(__xludf.DUMMYFUNCTION("""COMPUTED_VALUE"""),"Avenida San Martín 1070, Ciudad de Mendoza, Sección 3ª Parque O'Higgins, Mendoza, AR")</f>
        <v>Avenida San Martín 1070, Ciudad de Mendoza, Sección 3ª Parque O'Higgins, Mendoza, AR</v>
      </c>
    </row>
    <row r="117">
      <c r="A117" s="1">
        <v>645.0</v>
      </c>
      <c r="B117" s="1" t="s">
        <v>109</v>
      </c>
      <c r="C117" s="1">
        <v>15.0</v>
      </c>
      <c r="D117" s="1" t="s">
        <v>4303</v>
      </c>
      <c r="E117" s="1" t="s">
        <v>2882</v>
      </c>
      <c r="F117" s="1" t="s">
        <v>2978</v>
      </c>
      <c r="G117" s="1" t="s">
        <v>4304</v>
      </c>
      <c r="H117" s="1" t="s">
        <v>4304</v>
      </c>
      <c r="I117" s="1" t="s">
        <v>21</v>
      </c>
      <c r="J117" s="1" t="s">
        <v>4305</v>
      </c>
      <c r="K117">
        <v>-68.840028</v>
      </c>
      <c r="L117">
        <v>-32.892658</v>
      </c>
      <c r="O117" s="1" t="s">
        <v>4306</v>
      </c>
      <c r="P117">
        <f t="shared" si="1"/>
        <v>-32.892658</v>
      </c>
      <c r="Q117">
        <f>IFERROR(__xludf.DUMMYFUNCTION("""COMPUTED_VALUE"""),-68.840028)</f>
        <v>-68.840028</v>
      </c>
      <c r="R117" t="str">
        <f>IFERROR(__xludf.DUMMYFUNCTION("""COMPUTED_VALUE"""),"Av, San Martín 906, Mendoza , Argentina")</f>
        <v>Av, San Martín 906, Mendoza , Argentina</v>
      </c>
      <c r="S117" t="str">
        <f>IFERROR(__xludf.DUMMYFUNCTION("""COMPUTED_VALUE"""),"Avenida San Martín 906, Mendoza, Sección 2ª Barrio Cívico, Mendoza, AR")</f>
        <v>Avenida San Martín 906, Mendoza, Sección 2ª Barrio Cívico, Mendoza, AR</v>
      </c>
    </row>
    <row r="118">
      <c r="A118" s="1">
        <v>652.0</v>
      </c>
      <c r="B118" s="1" t="s">
        <v>109</v>
      </c>
      <c r="C118" s="1">
        <v>15.0</v>
      </c>
      <c r="D118" s="1" t="s">
        <v>4311</v>
      </c>
      <c r="E118" s="1" t="s">
        <v>2882</v>
      </c>
      <c r="F118" s="1" t="s">
        <v>2978</v>
      </c>
      <c r="G118" s="1" t="s">
        <v>135</v>
      </c>
      <c r="H118" s="1" t="s">
        <v>4313</v>
      </c>
      <c r="I118" s="1" t="s">
        <v>21</v>
      </c>
      <c r="J118" s="1" t="s">
        <v>139</v>
      </c>
      <c r="K118">
        <v>-68.839991</v>
      </c>
      <c r="L118">
        <v>-32.892291</v>
      </c>
      <c r="O118" s="1" t="s">
        <v>4315</v>
      </c>
      <c r="P118">
        <f t="shared" si="1"/>
        <v>-32.892291</v>
      </c>
      <c r="Q118">
        <f>IFERROR(__xludf.DUMMYFUNCTION("""COMPUTED_VALUE"""),-68.839991)</f>
        <v>-68.839991</v>
      </c>
      <c r="R118" t="str">
        <f>IFERROR(__xludf.DUMMYFUNCTION("""COMPUTED_VALUE"""),"Av, San Martín 950, Mendoza , Argentina")</f>
        <v>Av, San Martín 950, Mendoza , Argentina</v>
      </c>
      <c r="S118" t="str">
        <f>IFERROR(__xludf.DUMMYFUNCTION("""COMPUTED_VALUE"""),"Avenida San Martín 950, Mendoza, Sección 2ª Barrio Cívico, Mendoza, AR")</f>
        <v>Avenida San Martín 950, Mendoza, Sección 2ª Barrio Cívico, Mendoza, AR</v>
      </c>
    </row>
    <row r="119">
      <c r="A119" s="1">
        <v>668.0</v>
      </c>
      <c r="B119" s="1" t="s">
        <v>36</v>
      </c>
      <c r="C119" s="1">
        <v>1.0</v>
      </c>
      <c r="D119" s="1" t="s">
        <v>4318</v>
      </c>
      <c r="E119" s="1" t="s">
        <v>2882</v>
      </c>
      <c r="F119" s="1" t="s">
        <v>2978</v>
      </c>
      <c r="G119" s="1" t="s">
        <v>4319</v>
      </c>
      <c r="H119" s="1" t="s">
        <v>4319</v>
      </c>
      <c r="I119" s="1" t="s">
        <v>21</v>
      </c>
      <c r="J119" s="1" t="s">
        <v>4320</v>
      </c>
      <c r="K119">
        <v>-68.83804</v>
      </c>
      <c r="L119">
        <v>-32.885271</v>
      </c>
      <c r="O119" s="1" t="s">
        <v>4322</v>
      </c>
      <c r="P119">
        <f t="shared" si="1"/>
        <v>-32.885271</v>
      </c>
      <c r="Q119">
        <f>IFERROR(__xludf.DUMMYFUNCTION("""COMPUTED_VALUE"""),-68.83804)</f>
        <v>-68.83804</v>
      </c>
      <c r="R119" t="str">
        <f>IFERROR(__xludf.DUMMYFUNCTION("""COMPUTED_VALUE"""),"Av, San Martín 1671, Mendoza , Argentina")</f>
        <v>Av, San Martín 1671, Mendoza , Argentina</v>
      </c>
      <c r="S11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0">
      <c r="A120" s="1">
        <v>676.0</v>
      </c>
      <c r="B120" s="1" t="s">
        <v>36</v>
      </c>
      <c r="C120" s="1">
        <v>3.0</v>
      </c>
      <c r="D120" s="1" t="s">
        <v>4330</v>
      </c>
      <c r="E120" s="1" t="s">
        <v>2882</v>
      </c>
      <c r="F120" s="1" t="s">
        <v>2978</v>
      </c>
      <c r="G120" s="1" t="s">
        <v>4331</v>
      </c>
      <c r="H120" s="1" t="s">
        <v>4331</v>
      </c>
      <c r="I120" s="1" t="s">
        <v>21</v>
      </c>
      <c r="J120" s="1" t="s">
        <v>4332</v>
      </c>
      <c r="K120">
        <v>-68.83804</v>
      </c>
      <c r="L120">
        <v>-32.885271</v>
      </c>
      <c r="O120" s="1" t="s">
        <v>4333</v>
      </c>
      <c r="P120">
        <f t="shared" si="1"/>
        <v>-32.885271</v>
      </c>
      <c r="Q120">
        <f>IFERROR(__xludf.DUMMYFUNCTION("""COMPUTED_VALUE"""),-68.83804)</f>
        <v>-68.83804</v>
      </c>
      <c r="R120" t="str">
        <f>IFERROR(__xludf.DUMMYFUNCTION("""COMPUTED_VALUE"""),"Av, San Martín 1805, Mendoza , Argentina")</f>
        <v>Av, San Martín 1805, Mendoza , Argentina</v>
      </c>
      <c r="S120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1">
      <c r="A121" s="1">
        <v>677.0</v>
      </c>
      <c r="B121" s="1" t="s">
        <v>36</v>
      </c>
      <c r="C121" s="1">
        <v>3.0</v>
      </c>
      <c r="D121" s="1" t="s">
        <v>2992</v>
      </c>
      <c r="E121" s="1" t="s">
        <v>2882</v>
      </c>
      <c r="F121" s="1" t="s">
        <v>2978</v>
      </c>
      <c r="G121" s="1" t="s">
        <v>4342</v>
      </c>
      <c r="H121" s="1" t="s">
        <v>4342</v>
      </c>
      <c r="I121" s="1" t="s">
        <v>21</v>
      </c>
      <c r="J121" s="1" t="s">
        <v>4343</v>
      </c>
      <c r="K121">
        <v>-68.83804</v>
      </c>
      <c r="L121">
        <v>-32.885271</v>
      </c>
      <c r="O121" s="1" t="s">
        <v>4344</v>
      </c>
      <c r="P121">
        <f t="shared" si="1"/>
        <v>-32.885271</v>
      </c>
      <c r="Q121">
        <f>IFERROR(__xludf.DUMMYFUNCTION("""COMPUTED_VALUE"""),-68.83804)</f>
        <v>-68.83804</v>
      </c>
      <c r="R121" t="str">
        <f>IFERROR(__xludf.DUMMYFUNCTION("""COMPUTED_VALUE"""),"Av, San Martín 1817, Mendoza , Argentina")</f>
        <v>Av, San Martín 1817, Mendoza , Argentina</v>
      </c>
      <c r="S121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2">
      <c r="A122" s="1">
        <v>679.0</v>
      </c>
      <c r="B122" s="1" t="s">
        <v>36</v>
      </c>
      <c r="C122" s="1">
        <v>3.0</v>
      </c>
      <c r="D122" s="1" t="s">
        <v>4354</v>
      </c>
      <c r="E122" s="1" t="s">
        <v>2882</v>
      </c>
      <c r="F122" s="1" t="s">
        <v>2978</v>
      </c>
      <c r="G122" s="1" t="s">
        <v>4356</v>
      </c>
      <c r="H122" s="1" t="s">
        <v>4356</v>
      </c>
      <c r="I122" s="1" t="s">
        <v>21</v>
      </c>
      <c r="J122" s="1" t="s">
        <v>4358</v>
      </c>
      <c r="K122">
        <v>-68.83804</v>
      </c>
      <c r="L122">
        <v>-32.885271</v>
      </c>
      <c r="O122" s="1" t="s">
        <v>4360</v>
      </c>
      <c r="P122">
        <f t="shared" si="1"/>
        <v>-32.885271</v>
      </c>
      <c r="Q122">
        <f>IFERROR(__xludf.DUMMYFUNCTION("""COMPUTED_VALUE"""),-68.83804)</f>
        <v>-68.83804</v>
      </c>
      <c r="R122" t="str">
        <f>IFERROR(__xludf.DUMMYFUNCTION("""COMPUTED_VALUE"""),"Av, San Martín 1823, Mendoza , Argentina")</f>
        <v>Av, San Martín 1823, Mendoza , Argentina</v>
      </c>
      <c r="S122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3">
      <c r="A123" s="1">
        <v>681.0</v>
      </c>
      <c r="B123" s="1" t="s">
        <v>36</v>
      </c>
      <c r="C123" s="1">
        <v>3.0</v>
      </c>
      <c r="D123" s="1" t="s">
        <v>4365</v>
      </c>
      <c r="E123" s="1" t="s">
        <v>2882</v>
      </c>
      <c r="F123" s="1" t="s">
        <v>2978</v>
      </c>
      <c r="G123" s="1" t="s">
        <v>4366</v>
      </c>
      <c r="H123" s="1" t="s">
        <v>4366</v>
      </c>
      <c r="I123" s="1" t="s">
        <v>21</v>
      </c>
      <c r="J123" s="1" t="s">
        <v>4367</v>
      </c>
      <c r="K123">
        <v>-68.83804</v>
      </c>
      <c r="L123">
        <v>-32.885271</v>
      </c>
      <c r="O123" s="1" t="s">
        <v>4368</v>
      </c>
      <c r="P123">
        <f t="shared" si="1"/>
        <v>-32.885271</v>
      </c>
      <c r="Q123">
        <f>IFERROR(__xludf.DUMMYFUNCTION("""COMPUTED_VALUE"""),-68.83804)</f>
        <v>-68.83804</v>
      </c>
      <c r="R123" t="str">
        <f>IFERROR(__xludf.DUMMYFUNCTION("""COMPUTED_VALUE"""),"Av, San Martin 1835, Mendoza , Argentina")</f>
        <v>Av, San Martin 1835, Mendoza , Argentina</v>
      </c>
      <c r="S123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4">
      <c r="A124" s="1">
        <v>685.0</v>
      </c>
      <c r="B124" s="1" t="s">
        <v>36</v>
      </c>
      <c r="C124" s="1">
        <v>3.0</v>
      </c>
      <c r="D124" s="1" t="s">
        <v>4374</v>
      </c>
      <c r="E124" s="1" t="s">
        <v>2882</v>
      </c>
      <c r="F124" s="1" t="s">
        <v>2978</v>
      </c>
      <c r="G124" s="1" t="s">
        <v>4375</v>
      </c>
      <c r="H124" s="1" t="s">
        <v>4375</v>
      </c>
      <c r="I124" s="1" t="s">
        <v>21</v>
      </c>
      <c r="J124" s="1" t="s">
        <v>4377</v>
      </c>
      <c r="K124">
        <v>-68.83804</v>
      </c>
      <c r="L124">
        <v>-32.885271</v>
      </c>
      <c r="O124" s="1" t="s">
        <v>4379</v>
      </c>
      <c r="P124">
        <f t="shared" si="1"/>
        <v>-32.885271</v>
      </c>
      <c r="Q124">
        <f>IFERROR(__xludf.DUMMYFUNCTION("""COMPUTED_VALUE"""),-68.83804)</f>
        <v>-68.83804</v>
      </c>
      <c r="R124" t="str">
        <f>IFERROR(__xludf.DUMMYFUNCTION("""COMPUTED_VALUE"""),"Av, San Martín 1895, Mendoza , Argentina")</f>
        <v>Av, San Martín 1895, Mendoza , Argentina</v>
      </c>
      <c r="S124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25">
      <c r="A125" s="1">
        <v>690.0</v>
      </c>
      <c r="B125" s="1" t="s">
        <v>36</v>
      </c>
      <c r="C125" s="1">
        <v>4.0</v>
      </c>
      <c r="D125" s="1" t="s">
        <v>4384</v>
      </c>
      <c r="E125" s="1" t="s">
        <v>2882</v>
      </c>
      <c r="F125" s="1" t="s">
        <v>2978</v>
      </c>
      <c r="G125" s="1" t="s">
        <v>4386</v>
      </c>
      <c r="H125" s="1" t="s">
        <v>4386</v>
      </c>
      <c r="I125" s="1" t="s">
        <v>21</v>
      </c>
      <c r="J125" s="1" t="s">
        <v>4387</v>
      </c>
      <c r="K125">
        <v>-68.843136</v>
      </c>
      <c r="L125">
        <v>-32.905153</v>
      </c>
      <c r="O125" s="1" t="s">
        <v>4388</v>
      </c>
      <c r="P125">
        <f t="shared" si="1"/>
        <v>-32.905153</v>
      </c>
      <c r="Q125">
        <f>IFERROR(__xludf.DUMMYFUNCTION("""COMPUTED_VALUE"""),-68.843136)</f>
        <v>-68.843136</v>
      </c>
      <c r="R125" t="str">
        <f>IFERROR(__xludf.DUMMYFUNCTION("""COMPUTED_VALUE"""),"Av, San Martín 1921, Mendoza , Argentina")</f>
        <v>Av, San Martín 1921, Mendoza , Argentina</v>
      </c>
      <c r="S125" t="str">
        <f>IFERROR(__xludf.DUMMYFUNCTION("""COMPUTED_VALUE"""),"Avenida San Martín 1921, General Espejo, Departamento Godoy Cruz, Mendoza, AR")</f>
        <v>Avenida San Martín 1921, General Espejo, Departamento Godoy Cruz, Mendoza, AR</v>
      </c>
    </row>
    <row r="126">
      <c r="A126" s="1">
        <v>691.0</v>
      </c>
      <c r="B126" s="1" t="s">
        <v>36</v>
      </c>
      <c r="C126" s="1">
        <v>4.0</v>
      </c>
      <c r="D126" s="1" t="s">
        <v>4393</v>
      </c>
      <c r="E126" s="1" t="s">
        <v>2882</v>
      </c>
      <c r="F126" s="1" t="s">
        <v>2978</v>
      </c>
      <c r="G126" s="1" t="s">
        <v>4394</v>
      </c>
      <c r="H126" s="1" t="s">
        <v>4395</v>
      </c>
      <c r="I126" s="1" t="s">
        <v>21</v>
      </c>
      <c r="J126" s="1" t="s">
        <v>4396</v>
      </c>
      <c r="K126">
        <v>-68.843103</v>
      </c>
      <c r="L126">
        <v>-32.905015</v>
      </c>
      <c r="O126" s="1" t="s">
        <v>4397</v>
      </c>
      <c r="P126">
        <f t="shared" si="1"/>
        <v>-32.905015</v>
      </c>
      <c r="Q126">
        <f>IFERROR(__xludf.DUMMYFUNCTION("""COMPUTED_VALUE"""),-68.843103)</f>
        <v>-68.843103</v>
      </c>
      <c r="R126" t="str">
        <f>IFERROR(__xludf.DUMMYFUNCTION("""COMPUTED_VALUE"""),"Av, San Martín 1945, Mendoza , Argentina")</f>
        <v>Av, San Martín 1945, Mendoza , Argentina</v>
      </c>
      <c r="S126" t="str">
        <f>IFERROR(__xludf.DUMMYFUNCTION("""COMPUTED_VALUE"""),"Avenida San Martín 1945, General Espejo, Departamento Godoy Cruz, Mendoza, AR")</f>
        <v>Avenida San Martín 1945, General Espejo, Departamento Godoy Cruz, Mendoza, AR</v>
      </c>
    </row>
    <row r="127">
      <c r="A127" s="1">
        <v>694.0</v>
      </c>
      <c r="B127" s="1" t="s">
        <v>36</v>
      </c>
      <c r="C127" s="1">
        <v>4.0</v>
      </c>
      <c r="D127" s="1" t="s">
        <v>4406</v>
      </c>
      <c r="E127" s="1" t="s">
        <v>2882</v>
      </c>
      <c r="F127" s="1" t="s">
        <v>2978</v>
      </c>
      <c r="G127" s="1" t="s">
        <v>4407</v>
      </c>
      <c r="H127" s="1" t="s">
        <v>4407</v>
      </c>
      <c r="I127" s="1" t="s">
        <v>21</v>
      </c>
      <c r="J127" s="1" t="s">
        <v>4408</v>
      </c>
      <c r="K127">
        <v>-68.843061</v>
      </c>
      <c r="L127">
        <v>-32.904841</v>
      </c>
      <c r="O127" s="1" t="s">
        <v>4409</v>
      </c>
      <c r="P127">
        <f t="shared" si="1"/>
        <v>-32.904841</v>
      </c>
      <c r="Q127">
        <f>IFERROR(__xludf.DUMMYFUNCTION("""COMPUTED_VALUE"""),-68.843061)</f>
        <v>-68.843061</v>
      </c>
      <c r="R127" t="str">
        <f>IFERROR(__xludf.DUMMYFUNCTION("""COMPUTED_VALUE"""),"Av, San Martín 1975, Mendoza , Argentina")</f>
        <v>Av, San Martín 1975, Mendoza , Argentina</v>
      </c>
      <c r="S127" t="str">
        <f>IFERROR(__xludf.DUMMYFUNCTION("""COMPUTED_VALUE"""),"Avenida San Martín 1975, General Espejo, Departamento Godoy Cruz, Mendoza, AR")</f>
        <v>Avenida San Martín 1975, General Espejo, Departamento Godoy Cruz, Mendoza, AR</v>
      </c>
    </row>
    <row r="128">
      <c r="B128" s="1" t="s">
        <v>36</v>
      </c>
      <c r="C128" s="1">
        <v>5.0</v>
      </c>
      <c r="D128" s="1" t="s">
        <v>4417</v>
      </c>
      <c r="E128" s="1" t="s">
        <v>2882</v>
      </c>
      <c r="F128" s="1" t="s">
        <v>2978</v>
      </c>
      <c r="G128" s="1" t="s">
        <v>4418</v>
      </c>
      <c r="H128" s="1" t="s">
        <v>4418</v>
      </c>
      <c r="I128" s="1" t="s">
        <v>21</v>
      </c>
      <c r="J128" s="1" t="s">
        <v>4419</v>
      </c>
      <c r="K128">
        <v>-68.842977</v>
      </c>
      <c r="L128">
        <v>-32.904494</v>
      </c>
      <c r="O128" s="1" t="s">
        <v>4420</v>
      </c>
      <c r="P128">
        <f t="shared" si="1"/>
        <v>-32.904494</v>
      </c>
      <c r="Q128">
        <f>IFERROR(__xludf.DUMMYFUNCTION("""COMPUTED_VALUE"""),-68.842977)</f>
        <v>-68.842977</v>
      </c>
      <c r="R128" t="str">
        <f>IFERROR(__xludf.DUMMYFUNCTION("""COMPUTED_VALUE"""),"Av, San Martin 2035, Mendoza , Argentina")</f>
        <v>Av, San Martin 2035, Mendoza , Argentina</v>
      </c>
      <c r="S128" t="str">
        <f>IFERROR(__xludf.DUMMYFUNCTION("""COMPUTED_VALUE"""),"Avenida San Martín 2035, General Espejo, Departamento Godoy Cruz, Mendoza, AR")</f>
        <v>Avenida San Martín 2035, General Espejo, Departamento Godoy Cruz, Mendoza, AR</v>
      </c>
    </row>
    <row r="129">
      <c r="A129" s="1">
        <v>696.0</v>
      </c>
      <c r="B129" s="1" t="s">
        <v>36</v>
      </c>
      <c r="C129" s="1">
        <v>5.0</v>
      </c>
      <c r="D129" s="1" t="s">
        <v>2976</v>
      </c>
      <c r="E129" s="1" t="s">
        <v>2882</v>
      </c>
      <c r="F129" s="1" t="s">
        <v>2978</v>
      </c>
      <c r="G129" s="1" t="s">
        <v>4429</v>
      </c>
      <c r="H129" s="1" t="s">
        <v>4429</v>
      </c>
      <c r="I129" s="1" t="s">
        <v>21</v>
      </c>
      <c r="J129" s="1" t="s">
        <v>4430</v>
      </c>
      <c r="K129">
        <v>-68.842949</v>
      </c>
      <c r="L129">
        <v>-32.904378</v>
      </c>
      <c r="O129" s="1" t="s">
        <v>4431</v>
      </c>
      <c r="P129">
        <f t="shared" si="1"/>
        <v>-32.904378</v>
      </c>
      <c r="Q129">
        <f>IFERROR(__xludf.DUMMYFUNCTION("""COMPUTED_VALUE"""),-68.842949)</f>
        <v>-68.842949</v>
      </c>
      <c r="R129" t="str">
        <f>IFERROR(__xludf.DUMMYFUNCTION("""COMPUTED_VALUE"""),"Av, San Martin 2055, Mendoza , Argentina")</f>
        <v>Av, San Martin 2055, Mendoza , Argentina</v>
      </c>
      <c r="S129" t="str">
        <f>IFERROR(__xludf.DUMMYFUNCTION("""COMPUTED_VALUE"""),"Avenida San Martín 2055, General Espejo, Departamento Godoy Cruz, Mendoza, AR")</f>
        <v>Avenida San Martín 2055, General Espejo, Departamento Godoy Cruz, Mendoza, AR</v>
      </c>
    </row>
    <row r="130">
      <c r="A130" s="1">
        <v>700.0</v>
      </c>
      <c r="B130" s="1" t="s">
        <v>36</v>
      </c>
      <c r="C130" s="1">
        <v>5.0</v>
      </c>
      <c r="D130" s="1" t="s">
        <v>4439</v>
      </c>
      <c r="E130" s="1" t="s">
        <v>2882</v>
      </c>
      <c r="F130" s="1" t="s">
        <v>2978</v>
      </c>
      <c r="G130" s="1" t="s">
        <v>4440</v>
      </c>
      <c r="H130" s="1" t="s">
        <v>4440</v>
      </c>
      <c r="I130" s="1" t="s">
        <v>21</v>
      </c>
      <c r="J130" s="1" t="s">
        <v>4442</v>
      </c>
      <c r="K130">
        <v>-68.842891</v>
      </c>
      <c r="L130">
        <v>-32.904135</v>
      </c>
      <c r="O130" s="1" t="s">
        <v>4443</v>
      </c>
      <c r="P130">
        <f t="shared" si="1"/>
        <v>-32.904135</v>
      </c>
      <c r="Q130">
        <f>IFERROR(__xludf.DUMMYFUNCTION("""COMPUTED_VALUE"""),-68.842891)</f>
        <v>-68.842891</v>
      </c>
      <c r="R130" t="str">
        <f>IFERROR(__xludf.DUMMYFUNCTION("""COMPUTED_VALUE"""),"Av, San Martín 2097, Mendoza , Argentina")</f>
        <v>Av, San Martín 2097, Mendoza , Argentina</v>
      </c>
      <c r="S130" t="str">
        <f>IFERROR(__xludf.DUMMYFUNCTION("""COMPUTED_VALUE"""),"Avenida San Martín 2097, General Espejo, Departamento Godoy Cruz, Mendoza, AR")</f>
        <v>Avenida San Martín 2097, General Espejo, Departamento Godoy Cruz, Mendoza, AR</v>
      </c>
    </row>
    <row r="131">
      <c r="A131" s="1">
        <v>704.0</v>
      </c>
      <c r="B131" s="1" t="s">
        <v>36</v>
      </c>
      <c r="C131" s="1">
        <v>6.0</v>
      </c>
      <c r="D131" s="1" t="s">
        <v>4449</v>
      </c>
      <c r="E131" s="1" t="s">
        <v>2882</v>
      </c>
      <c r="F131" s="1" t="s">
        <v>2978</v>
      </c>
      <c r="G131" s="1" t="s">
        <v>4450</v>
      </c>
      <c r="H131" s="1" t="s">
        <v>4450</v>
      </c>
      <c r="I131" s="1" t="s">
        <v>21</v>
      </c>
      <c r="J131" s="1" t="s">
        <v>4451</v>
      </c>
      <c r="K131">
        <v>-68.841739</v>
      </c>
      <c r="L131">
        <v>-32.899502</v>
      </c>
      <c r="O131" s="1" t="s">
        <v>4452</v>
      </c>
      <c r="P131">
        <f t="shared" si="1"/>
        <v>-32.899502</v>
      </c>
      <c r="Q131">
        <f>IFERROR(__xludf.DUMMYFUNCTION("""COMPUTED_VALUE"""),-68.841739)</f>
        <v>-68.841739</v>
      </c>
      <c r="R131" t="str">
        <f>IFERROR(__xludf.DUMMYFUNCTION("""COMPUTED_VALUE"""),"Av, San Martín 2129, Mendoza , Argentina")</f>
        <v>Av, San Martín 2129, Mendoza , Argentina</v>
      </c>
      <c r="S131" t="str">
        <f>IFERROR(__xludf.DUMMYFUNCTION("""COMPUTED_VALUE"""),"Avenida San Martín, Ciudad de Mendoza, Sección 2ª Barrio Cívico, Mendoza, AR")</f>
        <v>Avenida San Martín, Ciudad de Mendoza, Sección 2ª Barrio Cívico, Mendoza, AR</v>
      </c>
    </row>
    <row r="132">
      <c r="A132" s="1">
        <v>708.0</v>
      </c>
      <c r="B132" s="1" t="s">
        <v>36</v>
      </c>
      <c r="C132" s="1">
        <v>6.0</v>
      </c>
      <c r="D132" s="1" t="s">
        <v>4456</v>
      </c>
      <c r="E132" s="1" t="s">
        <v>2882</v>
      </c>
      <c r="F132" s="1" t="s">
        <v>2978</v>
      </c>
      <c r="G132" s="1" t="s">
        <v>4459</v>
      </c>
      <c r="H132" s="1" t="s">
        <v>4459</v>
      </c>
      <c r="I132" s="1" t="s">
        <v>21</v>
      </c>
      <c r="J132" s="1" t="s">
        <v>4462</v>
      </c>
      <c r="K132">
        <v>-60.726176</v>
      </c>
      <c r="L132">
        <v>-32.783549</v>
      </c>
      <c r="O132" s="1" t="s">
        <v>4464</v>
      </c>
      <c r="P132">
        <f t="shared" si="1"/>
        <v>-32.783549</v>
      </c>
      <c r="Q132">
        <f>IFERROR(__xludf.DUMMYFUNCTION("""COMPUTED_VALUE"""),-60.726176)</f>
        <v>-60.726176</v>
      </c>
      <c r="R132" t="str">
        <f>IFERROR(__xludf.DUMMYFUNCTION("""COMPUTED_VALUE"""),"Av, San Martín y Beltrán , Mendoza , Argentina")</f>
        <v>Av, San Martín y Beltrán , Mendoza , Argentina</v>
      </c>
      <c r="S132" t="str">
        <f>IFERROR(__xludf.DUMMYFUNCTION("""COMPUTED_VALUE"""),"Avenida San Martín, Fray Luis Beltrán, Municipio de Fray Luis Beltrán, Santa Fe, AR")</f>
        <v>Avenida San Martín, Fray Luis Beltrán, Municipio de Fray Luis Beltrán, Santa Fe, AR</v>
      </c>
    </row>
    <row r="133">
      <c r="A133" s="1">
        <v>709.0</v>
      </c>
      <c r="B133" s="1" t="s">
        <v>36</v>
      </c>
      <c r="C133" s="1">
        <v>7.0</v>
      </c>
      <c r="D133" s="1" t="s">
        <v>4465</v>
      </c>
      <c r="E133" s="1" t="s">
        <v>2882</v>
      </c>
      <c r="F133" s="1" t="s">
        <v>2978</v>
      </c>
      <c r="G133" s="1" t="s">
        <v>4467</v>
      </c>
      <c r="H133" s="1" t="s">
        <v>4467</v>
      </c>
      <c r="I133" s="1" t="s">
        <v>21</v>
      </c>
      <c r="J133" s="1" t="s">
        <v>4468</v>
      </c>
      <c r="K133">
        <v>-68.841739</v>
      </c>
      <c r="L133">
        <v>-32.899502</v>
      </c>
      <c r="O133" s="1" t="s">
        <v>4470</v>
      </c>
      <c r="P133">
        <f t="shared" si="1"/>
        <v>-32.899502</v>
      </c>
      <c r="Q133">
        <f>IFERROR(__xludf.DUMMYFUNCTION("""COMPUTED_VALUE"""),-68.841739)</f>
        <v>-68.841739</v>
      </c>
      <c r="R133" t="str">
        <f>IFERROR(__xludf.DUMMYFUNCTION("""COMPUTED_VALUE"""),"Av, San Martín 2237, Mendoza , Argentina")</f>
        <v>Av, San Martín 2237, Mendoza , Argentina</v>
      </c>
      <c r="S133" t="str">
        <f>IFERROR(__xludf.DUMMYFUNCTION("""COMPUTED_VALUE"""),"Avenida San Martín, Ciudad de Mendoza, Sección 2ª Barrio Cívico, Mendoza, AR")</f>
        <v>Avenida San Martín, Ciudad de Mendoza, Sección 2ª Barrio Cívico, Mendoza, AR</v>
      </c>
    </row>
    <row r="134">
      <c r="A134" s="1">
        <v>711.0</v>
      </c>
      <c r="B134" s="1" t="s">
        <v>36</v>
      </c>
      <c r="C134" s="1">
        <v>7.0</v>
      </c>
      <c r="D134" s="1" t="s">
        <v>4475</v>
      </c>
      <c r="E134" s="1" t="s">
        <v>2882</v>
      </c>
      <c r="F134" s="1" t="s">
        <v>2978</v>
      </c>
      <c r="G134" s="1" t="s">
        <v>4476</v>
      </c>
      <c r="H134" s="1" t="s">
        <v>4476</v>
      </c>
      <c r="I134" s="1" t="s">
        <v>21</v>
      </c>
      <c r="J134" s="1" t="s">
        <v>4478</v>
      </c>
      <c r="K134">
        <v>-68.83804</v>
      </c>
      <c r="L134">
        <v>-32.885271</v>
      </c>
      <c r="O134" s="1" t="s">
        <v>4480</v>
      </c>
      <c r="P134">
        <f t="shared" si="1"/>
        <v>-32.885271</v>
      </c>
      <c r="Q134">
        <f>IFERROR(__xludf.DUMMYFUNCTION("""COMPUTED_VALUE"""),-68.83804)</f>
        <v>-68.83804</v>
      </c>
      <c r="R134" t="str">
        <f>IFERROR(__xludf.DUMMYFUNCTION("""COMPUTED_VALUE"""),"Av, San Martín 2253, Mendoza , Argentina")</f>
        <v>Av, San Martín 2253, Mendoza , Argentina</v>
      </c>
      <c r="S134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35">
      <c r="A135" s="1">
        <v>712.0</v>
      </c>
      <c r="B135" s="1" t="s">
        <v>36</v>
      </c>
      <c r="C135" s="1">
        <v>7.0</v>
      </c>
      <c r="D135" s="1" t="s">
        <v>4487</v>
      </c>
      <c r="E135" s="1" t="s">
        <v>2882</v>
      </c>
      <c r="F135" s="1" t="s">
        <v>2978</v>
      </c>
      <c r="G135" s="1" t="s">
        <v>4490</v>
      </c>
      <c r="H135" s="1" t="s">
        <v>4490</v>
      </c>
      <c r="I135" s="1" t="s">
        <v>21</v>
      </c>
      <c r="J135" s="1" t="s">
        <v>4492</v>
      </c>
      <c r="K135">
        <v>-68.83804</v>
      </c>
      <c r="L135">
        <v>-32.885271</v>
      </c>
      <c r="O135" s="1" t="s">
        <v>4493</v>
      </c>
      <c r="P135">
        <f t="shared" si="1"/>
        <v>-32.885271</v>
      </c>
      <c r="Q135">
        <f>IFERROR(__xludf.DUMMYFUNCTION("""COMPUTED_VALUE"""),-68.83804)</f>
        <v>-68.83804</v>
      </c>
      <c r="R135" t="str">
        <f>IFERROR(__xludf.DUMMYFUNCTION("""COMPUTED_VALUE"""),"Av, San Martín 2259, Mendoza , Argentina")</f>
        <v>Av, San Martín 2259, Mendoza , Argentina</v>
      </c>
      <c r="S135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36">
      <c r="A136" s="1">
        <v>714.0</v>
      </c>
      <c r="B136" s="1" t="s">
        <v>36</v>
      </c>
      <c r="C136" s="1">
        <v>7.0</v>
      </c>
      <c r="D136" s="1" t="s">
        <v>4494</v>
      </c>
      <c r="E136" s="1" t="s">
        <v>2882</v>
      </c>
      <c r="F136" s="1" t="s">
        <v>2978</v>
      </c>
      <c r="G136" s="1" t="s">
        <v>3765</v>
      </c>
      <c r="H136" s="1" t="s">
        <v>3765</v>
      </c>
      <c r="I136" s="1" t="s">
        <v>21</v>
      </c>
      <c r="J136" s="1" t="s">
        <v>3767</v>
      </c>
      <c r="K136">
        <v>-68.835832</v>
      </c>
      <c r="L136">
        <v>-32.876504</v>
      </c>
      <c r="O136" s="1" t="s">
        <v>3768</v>
      </c>
      <c r="P136">
        <f t="shared" si="1"/>
        <v>-32.876504</v>
      </c>
      <c r="Q136">
        <f>IFERROR(__xludf.DUMMYFUNCTION("""COMPUTED_VALUE"""),-68.835832)</f>
        <v>-68.835832</v>
      </c>
      <c r="R136" t="str">
        <f>IFERROR(__xludf.DUMMYFUNCTION("""COMPUTED_VALUE"""),"Av, San Martín 2265, Mendoza , Argentina")</f>
        <v>Av, San Martín 2265, Mendoza , Argentina</v>
      </c>
      <c r="S136" t="str">
        <f>IFERROR(__xludf.DUMMYFUNCTION("""COMPUTED_VALUE"""),"Avenida San Martín 2265, Ciudad de Mendoza, Sección 1ª Parque Central, Mendoza, AR")</f>
        <v>Avenida San Martín 2265, Ciudad de Mendoza, Sección 1ª Parque Central, Mendoza, AR</v>
      </c>
    </row>
    <row r="137">
      <c r="A137" s="1">
        <v>715.0</v>
      </c>
      <c r="B137" s="1" t="s">
        <v>36</v>
      </c>
      <c r="C137" s="1">
        <v>7.0</v>
      </c>
      <c r="D137" s="1" t="s">
        <v>4393</v>
      </c>
      <c r="E137" s="1" t="s">
        <v>2882</v>
      </c>
      <c r="F137" s="1" t="s">
        <v>2978</v>
      </c>
      <c r="G137" s="1" t="s">
        <v>4501</v>
      </c>
      <c r="H137" s="1" t="s">
        <v>4501</v>
      </c>
      <c r="I137" s="1" t="s">
        <v>21</v>
      </c>
      <c r="J137" s="1" t="s">
        <v>4502</v>
      </c>
      <c r="K137">
        <v>-68.836909</v>
      </c>
      <c r="L137">
        <v>-32.880999</v>
      </c>
      <c r="O137" s="1" t="s">
        <v>4503</v>
      </c>
      <c r="P137">
        <f t="shared" si="1"/>
        <v>-32.880999</v>
      </c>
      <c r="Q137">
        <f>IFERROR(__xludf.DUMMYFUNCTION("""COMPUTED_VALUE"""),-68.836909)</f>
        <v>-68.836909</v>
      </c>
      <c r="R137" t="str">
        <f>IFERROR(__xludf.DUMMYFUNCTION("""COMPUTED_VALUE"""),"Av, San Martín 2297, Mendoza , Argentina")</f>
        <v>Av, San Martín 2297, Mendoza , Argentina</v>
      </c>
      <c r="S137" t="str">
        <f>IFERROR(__xludf.DUMMYFUNCTION("""COMPUTED_VALUE"""),"Avenida San Martín, Ciudad de Mendoza, Sección 1ª Parque Central, Mendoza, AR")</f>
        <v>Avenida San Martín, Ciudad de Mendoza, Sección 1ª Parque Central, Mendoza, AR</v>
      </c>
    </row>
    <row r="138">
      <c r="A138" s="1">
        <v>716.0</v>
      </c>
      <c r="B138" s="1" t="s">
        <v>36</v>
      </c>
      <c r="C138" s="1">
        <v>8.0</v>
      </c>
      <c r="D138" s="1" t="s">
        <v>4507</v>
      </c>
      <c r="E138" s="1" t="s">
        <v>2882</v>
      </c>
      <c r="F138" s="1" t="s">
        <v>2978</v>
      </c>
      <c r="G138" s="1" t="s">
        <v>4508</v>
      </c>
      <c r="H138" s="1" t="s">
        <v>4508</v>
      </c>
      <c r="I138" s="1" t="s">
        <v>21</v>
      </c>
      <c r="J138" s="1" t="s">
        <v>4510</v>
      </c>
      <c r="K138">
        <v>-67.651152</v>
      </c>
      <c r="L138">
        <v>-34.998736</v>
      </c>
      <c r="O138" s="1" t="s">
        <v>4512</v>
      </c>
      <c r="P138">
        <f t="shared" si="1"/>
        <v>-34.998736</v>
      </c>
      <c r="Q138">
        <f>IFERROR(__xludf.DUMMYFUNCTION("""COMPUTED_VALUE"""),-67.651152)</f>
        <v>-67.651152</v>
      </c>
      <c r="R138" t="str">
        <f>IFERROR(__xludf.DUMMYFUNCTION("""COMPUTED_VALUE"""),"Maipú 30, Mendoza , Argentina")</f>
        <v>Maipú 30, Mendoza , Argentina</v>
      </c>
      <c r="S138" t="str">
        <f>IFERROR(__xludf.DUMMYFUNCTION("""COMPUTED_VALUE"""),"Maipú, Colonia Alvear, Distrito Alvear Oeste, Mendoza, AR")</f>
        <v>Maipú, Colonia Alvear, Distrito Alvear Oeste, Mendoza, AR</v>
      </c>
    </row>
    <row r="139">
      <c r="A139" s="1">
        <v>718.0</v>
      </c>
      <c r="B139" s="1" t="s">
        <v>36</v>
      </c>
      <c r="C139" s="1">
        <v>8.0</v>
      </c>
      <c r="D139" s="1" t="s">
        <v>4517</v>
      </c>
      <c r="E139" s="1" t="s">
        <v>2882</v>
      </c>
      <c r="F139" s="1" t="s">
        <v>2978</v>
      </c>
      <c r="G139" s="1" t="s">
        <v>4518</v>
      </c>
      <c r="H139" s="1" t="s">
        <v>4518</v>
      </c>
      <c r="I139" s="1" t="s">
        <v>21</v>
      </c>
      <c r="J139" s="1" t="s">
        <v>4520</v>
      </c>
      <c r="K139">
        <v>-68.83804</v>
      </c>
      <c r="L139">
        <v>-32.885271</v>
      </c>
      <c r="O139" s="1" t="s">
        <v>4522</v>
      </c>
      <c r="P139">
        <f t="shared" si="1"/>
        <v>-32.885271</v>
      </c>
      <c r="Q139">
        <f>IFERROR(__xludf.DUMMYFUNCTION("""COMPUTED_VALUE"""),-68.83804)</f>
        <v>-68.83804</v>
      </c>
      <c r="R139" t="str">
        <f>IFERROR(__xludf.DUMMYFUNCTION("""COMPUTED_VALUE"""),"Av, San Martín 2307, Mendoza , Argentina")</f>
        <v>Av, San Martín 2307, Mendoza , Argentina</v>
      </c>
      <c r="S139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40">
      <c r="A140" s="1">
        <v>719.0</v>
      </c>
      <c r="B140" s="1" t="s">
        <v>36</v>
      </c>
      <c r="C140" s="1">
        <v>8.0</v>
      </c>
      <c r="D140" s="1" t="s">
        <v>4526</v>
      </c>
      <c r="E140" s="1" t="s">
        <v>2882</v>
      </c>
      <c r="F140" s="1" t="s">
        <v>2978</v>
      </c>
      <c r="G140" s="1" t="s">
        <v>4528</v>
      </c>
      <c r="H140" s="1" t="s">
        <v>4528</v>
      </c>
      <c r="I140" s="1" t="s">
        <v>21</v>
      </c>
      <c r="J140" s="1" t="s">
        <v>4530</v>
      </c>
      <c r="K140">
        <v>-68.83804</v>
      </c>
      <c r="L140">
        <v>-32.885271</v>
      </c>
      <c r="O140" s="1" t="s">
        <v>4532</v>
      </c>
      <c r="P140">
        <f t="shared" si="1"/>
        <v>-32.885271</v>
      </c>
      <c r="Q140">
        <f>IFERROR(__xludf.DUMMYFUNCTION("""COMPUTED_VALUE"""),-68.83804)</f>
        <v>-68.83804</v>
      </c>
      <c r="R140" t="str">
        <f>IFERROR(__xludf.DUMMYFUNCTION("""COMPUTED_VALUE"""),"Av, San Martín 2321, Mendoza , Argentina")</f>
        <v>Av, San Martín 2321, Mendoza , Argentina</v>
      </c>
      <c r="S140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41">
      <c r="A141" s="1">
        <v>720.0</v>
      </c>
      <c r="B141" s="1" t="s">
        <v>36</v>
      </c>
      <c r="C141" s="1">
        <v>8.0</v>
      </c>
      <c r="D141" s="1" t="s">
        <v>4534</v>
      </c>
      <c r="E141" s="1" t="s">
        <v>2882</v>
      </c>
      <c r="F141" s="1" t="s">
        <v>2978</v>
      </c>
      <c r="G141" s="1" t="s">
        <v>4535</v>
      </c>
      <c r="H141" s="1" t="s">
        <v>4536</v>
      </c>
      <c r="I141" s="1" t="s">
        <v>21</v>
      </c>
      <c r="J141" s="1" t="s">
        <v>4537</v>
      </c>
      <c r="K141">
        <v>-68.83804</v>
      </c>
      <c r="L141">
        <v>-32.885271</v>
      </c>
      <c r="O141" s="1" t="s">
        <v>4539</v>
      </c>
      <c r="P141">
        <f t="shared" si="1"/>
        <v>-32.885271</v>
      </c>
      <c r="Q141">
        <f>IFERROR(__xludf.DUMMYFUNCTION("""COMPUTED_VALUE"""),-68.83804)</f>
        <v>-68.83804</v>
      </c>
      <c r="R141" t="str">
        <f>IFERROR(__xludf.DUMMYFUNCTION("""COMPUTED_VALUE"""),"Av, San Martín 2347, Mendoza , Argentina")</f>
        <v>Av, San Martín 2347, Mendoza , Argentina</v>
      </c>
      <c r="S141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42">
      <c r="A142" s="1">
        <v>721.0</v>
      </c>
      <c r="B142" s="1" t="s">
        <v>36</v>
      </c>
      <c r="C142" s="1">
        <v>8.0</v>
      </c>
      <c r="D142" s="1" t="s">
        <v>4542</v>
      </c>
      <c r="E142" s="1" t="s">
        <v>2882</v>
      </c>
      <c r="F142" s="1" t="s">
        <v>2978</v>
      </c>
      <c r="G142" s="1" t="s">
        <v>4544</v>
      </c>
      <c r="H142" s="1" t="s">
        <v>4544</v>
      </c>
      <c r="I142" s="1" t="s">
        <v>21</v>
      </c>
      <c r="J142" s="1" t="s">
        <v>4546</v>
      </c>
      <c r="K142">
        <v>-68.83804</v>
      </c>
      <c r="L142">
        <v>-32.885271</v>
      </c>
      <c r="O142" s="1" t="s">
        <v>4549</v>
      </c>
      <c r="P142">
        <f t="shared" si="1"/>
        <v>-32.885271</v>
      </c>
      <c r="Q142">
        <f>IFERROR(__xludf.DUMMYFUNCTION("""COMPUTED_VALUE"""),-68.83804)</f>
        <v>-68.83804</v>
      </c>
      <c r="R142" t="str">
        <f>IFERROR(__xludf.DUMMYFUNCTION("""COMPUTED_VALUE"""),"Av, San Martín 2300, Mendoza , Argentina")</f>
        <v>Av, San Martín 2300, Mendoza , Argentina</v>
      </c>
      <c r="S142" t="str">
        <f>IFERROR(__xludf.DUMMYFUNCTION("""COMPUTED_VALUE"""),"Avenida San Martín, Ciudad de Mendoza, Sección 3ª Parque O'Higgins, Mendoza, AR")</f>
        <v>Avenida San Martín, Ciudad de Mendoza, Sección 3ª Parque O'Higgins, Mendoza, AR</v>
      </c>
    </row>
    <row r="143">
      <c r="A143" s="1">
        <v>751.0</v>
      </c>
      <c r="B143" s="1" t="s">
        <v>36</v>
      </c>
      <c r="C143" s="1">
        <v>12.0</v>
      </c>
      <c r="D143" s="1" t="s">
        <v>2336</v>
      </c>
      <c r="E143" s="1" t="s">
        <v>2882</v>
      </c>
      <c r="F143" s="1" t="s">
        <v>2978</v>
      </c>
      <c r="G143" s="1" t="s">
        <v>4551</v>
      </c>
      <c r="H143" s="1" t="s">
        <v>4551</v>
      </c>
      <c r="I143" s="1" t="s">
        <v>21</v>
      </c>
      <c r="J143" s="1" t="s">
        <v>4552</v>
      </c>
      <c r="K143">
        <v>-68.836277</v>
      </c>
      <c r="L143">
        <v>-32.880123</v>
      </c>
      <c r="O143" s="1" t="s">
        <v>4553</v>
      </c>
      <c r="P143">
        <f t="shared" si="1"/>
        <v>-32.880123</v>
      </c>
      <c r="Q143">
        <f>IFERROR(__xludf.DUMMYFUNCTION("""COMPUTED_VALUE"""),-68.836277)</f>
        <v>-68.836277</v>
      </c>
      <c r="R143" t="str">
        <f>IFERROR(__xludf.DUMMYFUNCTION("""COMPUTED_VALUE"""),"Av, San Martín 1998, Mendoza , Argentina")</f>
        <v>Av, San Martín 1998, Mendoza , Argentina</v>
      </c>
      <c r="S143" t="str">
        <f>IFERROR(__xludf.DUMMYFUNCTION("""COMPUTED_VALUE"""),"Avenida San Martín 1998, Ciudad de Mendoza, Sección 1ª Parque Central, Mendoza, AR")</f>
        <v>Avenida San Martín 1998, Ciudad de Mendoza, Sección 1ª Parque Central, Mendoza, AR</v>
      </c>
    </row>
    <row r="144">
      <c r="A144" s="1">
        <v>753.0</v>
      </c>
      <c r="B144" s="1" t="s">
        <v>36</v>
      </c>
      <c r="C144" s="1">
        <v>13.0</v>
      </c>
      <c r="D144" s="1" t="s">
        <v>4554</v>
      </c>
      <c r="E144" s="1" t="s">
        <v>2882</v>
      </c>
      <c r="F144" s="1" t="s">
        <v>2978</v>
      </c>
      <c r="G144" s="1" t="s">
        <v>4555</v>
      </c>
      <c r="H144" s="1" t="s">
        <v>4555</v>
      </c>
      <c r="I144" s="1" t="s">
        <v>21</v>
      </c>
      <c r="J144" s="1" t="s">
        <v>4556</v>
      </c>
      <c r="K144">
        <v>-100.445882</v>
      </c>
      <c r="L144">
        <v>39.78373</v>
      </c>
      <c r="O144" s="1" t="s">
        <v>4557</v>
      </c>
      <c r="P144">
        <f t="shared" si="1"/>
        <v>39.78373</v>
      </c>
      <c r="Q144">
        <f>IFERROR(__xludf.DUMMYFUNCTION("""COMPUTED_VALUE"""),-100.445882)</f>
        <v>-100.445882</v>
      </c>
      <c r="R144" t="str">
        <f>IFERROR(__xludf.DUMMYFUNCTION("""COMPUTED_VALUE"""),"E, Blanco 2, Mendoza , Argentina")</f>
        <v>E, Blanco 2, Mendoza , Argentina</v>
      </c>
      <c r="S144" t="str">
        <f>IFERROR(__xludf.DUMMYFUNCTION("""COMPUTED_VALUE"""),"US")</f>
        <v>US</v>
      </c>
    </row>
    <row r="145">
      <c r="A145" s="1">
        <v>766.0</v>
      </c>
      <c r="B145" s="1" t="s">
        <v>36</v>
      </c>
      <c r="C145" s="1">
        <v>14.0</v>
      </c>
      <c r="D145" s="1" t="s">
        <v>4561</v>
      </c>
      <c r="E145" s="1" t="s">
        <v>2882</v>
      </c>
      <c r="F145" s="1" t="s">
        <v>2978</v>
      </c>
      <c r="G145" s="1" t="s">
        <v>4562</v>
      </c>
      <c r="H145" s="1" t="s">
        <v>4563</v>
      </c>
      <c r="I145" s="1" t="s">
        <v>21</v>
      </c>
      <c r="J145" s="1" t="s">
        <v>4564</v>
      </c>
      <c r="K145">
        <v>-68.83779</v>
      </c>
      <c r="L145">
        <v>-32.883984</v>
      </c>
      <c r="O145" s="1" t="s">
        <v>4565</v>
      </c>
      <c r="P145">
        <f t="shared" si="1"/>
        <v>-32.883984</v>
      </c>
      <c r="Q145">
        <f>IFERROR(__xludf.DUMMYFUNCTION("""COMPUTED_VALUE"""),-68.83779)</f>
        <v>-68.83779</v>
      </c>
      <c r="R145" t="str">
        <f>IFERROR(__xludf.DUMMYFUNCTION("""COMPUTED_VALUE"""),"Av, San Martín 1704, Mendoza , Argentina")</f>
        <v>Av, San Martín 1704, Mendoza , Argentina</v>
      </c>
      <c r="S145" t="str">
        <f>IFERROR(__xludf.DUMMYFUNCTION("""COMPUTED_VALUE"""),"Avenida San Martín 1704, Ciudad de Mendoza, Sección 3ª Parque O'Higgins, Mendoza, AR")</f>
        <v>Avenida San Martín 1704, Ciudad de Mendoza, Sección 3ª Parque O'Higgins, Mendoza, AR</v>
      </c>
    </row>
    <row r="146">
      <c r="A146" s="1">
        <v>790.0</v>
      </c>
      <c r="B146" s="1" t="s">
        <v>55</v>
      </c>
      <c r="C146" s="1">
        <v>1.0</v>
      </c>
      <c r="D146" s="1" t="s">
        <v>3354</v>
      </c>
      <c r="E146" s="1" t="s">
        <v>2882</v>
      </c>
      <c r="F146" s="1" t="s">
        <v>2978</v>
      </c>
      <c r="G146" s="1" t="s">
        <v>4568</v>
      </c>
      <c r="H146" s="1" t="s">
        <v>4568</v>
      </c>
      <c r="I146" s="1" t="s">
        <v>21</v>
      </c>
      <c r="J146" s="1" t="s">
        <v>4570</v>
      </c>
      <c r="K146">
        <v>-68.83892</v>
      </c>
      <c r="L146">
        <v>-32.886209</v>
      </c>
      <c r="O146" s="1" t="s">
        <v>4572</v>
      </c>
      <c r="P146">
        <f t="shared" si="1"/>
        <v>-32.886209</v>
      </c>
      <c r="Q146">
        <f>IFERROR(__xludf.DUMMYFUNCTION("""COMPUTED_VALUE"""),-68.83892)</f>
        <v>-68.83892</v>
      </c>
      <c r="R146" t="str">
        <f>IFERROR(__xludf.DUMMYFUNCTION("""COMPUTED_VALUE"""),"Av, Las Heras 61, Mendoza , Argentina")</f>
        <v>Av, Las Heras 61, Mendoza , Argentina</v>
      </c>
      <c r="S146" t="str">
        <f>IFERROR(__xludf.DUMMYFUNCTION("""COMPUTED_VALUE"""),"Avenida Las Heras 61, Ciudad de Mendoza, Sección 3ª Parque O'Higgins, Mendoza, AR")</f>
        <v>Avenida Las Heras 61, Ciudad de Mendoza, Sección 3ª Parque O'Higgins, Mendoza, AR</v>
      </c>
    </row>
    <row r="147">
      <c r="A147" s="1">
        <v>796.0</v>
      </c>
      <c r="B147" s="1" t="s">
        <v>55</v>
      </c>
      <c r="C147" s="1">
        <v>1.0</v>
      </c>
      <c r="D147" s="1" t="s">
        <v>4574</v>
      </c>
      <c r="E147" s="1" t="s">
        <v>2882</v>
      </c>
      <c r="F147" s="1" t="s">
        <v>2978</v>
      </c>
      <c r="G147" s="1" t="s">
        <v>4575</v>
      </c>
      <c r="H147" s="1" t="s">
        <v>4575</v>
      </c>
      <c r="I147" s="1" t="s">
        <v>21</v>
      </c>
      <c r="J147" s="1" t="s">
        <v>4576</v>
      </c>
      <c r="K147">
        <v>-68.839392</v>
      </c>
      <c r="L147">
        <v>-32.886132</v>
      </c>
      <c r="O147" s="1" t="s">
        <v>4577</v>
      </c>
      <c r="P147">
        <f t="shared" si="1"/>
        <v>-32.886132</v>
      </c>
      <c r="Q147">
        <f>IFERROR(__xludf.DUMMYFUNCTION("""COMPUTED_VALUE"""),-68.839392)</f>
        <v>-68.839392</v>
      </c>
      <c r="R147" t="str">
        <f>IFERROR(__xludf.DUMMYFUNCTION("""COMPUTED_VALUE"""),"Av, Las Heras 87, Mendoza , Argentina")</f>
        <v>Av, Las Heras 87, Mendoza , Argentina</v>
      </c>
      <c r="S147" t="str">
        <f>IFERROR(__xludf.DUMMYFUNCTION("""COMPUTED_VALUE"""),"Avenida Las Heras 87, Ciudad de Mendoza, Sección 3ª Parque O'Higgins, Mendoza, AR")</f>
        <v>Avenida Las Heras 87, Ciudad de Mendoza, Sección 3ª Parque O'Higgins, Mendoza, AR</v>
      </c>
    </row>
    <row r="148">
      <c r="A148" s="1">
        <v>797.0</v>
      </c>
      <c r="B148" s="1" t="s">
        <v>55</v>
      </c>
      <c r="C148" s="1">
        <v>1.0</v>
      </c>
      <c r="D148" s="1" t="s">
        <v>4235</v>
      </c>
      <c r="E148" s="1" t="s">
        <v>2882</v>
      </c>
      <c r="F148" s="1" t="s">
        <v>2978</v>
      </c>
      <c r="G148" s="1" t="s">
        <v>4578</v>
      </c>
      <c r="H148" s="1" t="s">
        <v>4579</v>
      </c>
      <c r="I148" s="1" t="s">
        <v>21</v>
      </c>
      <c r="J148" s="1" t="s">
        <v>4580</v>
      </c>
      <c r="K148">
        <v>-100.445882</v>
      </c>
      <c r="L148">
        <v>39.78373</v>
      </c>
      <c r="O148" s="1" t="s">
        <v>4581</v>
      </c>
      <c r="P148">
        <f t="shared" si="1"/>
        <v>39.78373</v>
      </c>
      <c r="Q148">
        <f>IFERROR(__xludf.DUMMYFUNCTION("""COMPUTED_VALUE"""),-100.445882)</f>
        <v>-100.445882</v>
      </c>
      <c r="R148" t="str">
        <f>IFERROR(__xludf.DUMMYFUNCTION("""COMPUTED_VALUE"""),"San Martín y Av, Las Heras, Mendoza , Argentina")</f>
        <v>San Martín y Av, Las Heras, Mendoza , Argentina</v>
      </c>
      <c r="S148" t="str">
        <f>IFERROR(__xludf.DUMMYFUNCTION("""COMPUTED_VALUE"""),"US")</f>
        <v>US</v>
      </c>
    </row>
    <row r="149">
      <c r="A149" s="1">
        <v>811.0</v>
      </c>
      <c r="B149" s="1" t="s">
        <v>55</v>
      </c>
      <c r="C149" s="1">
        <v>2.0</v>
      </c>
      <c r="D149" s="1" t="s">
        <v>4585</v>
      </c>
      <c r="E149" s="1" t="s">
        <v>2882</v>
      </c>
      <c r="F149" s="1" t="s">
        <v>2978</v>
      </c>
      <c r="G149" s="1" t="s">
        <v>4586</v>
      </c>
      <c r="H149" s="1" t="s">
        <v>4586</v>
      </c>
      <c r="I149" s="1" t="s">
        <v>21</v>
      </c>
      <c r="J149" s="1" t="s">
        <v>4587</v>
      </c>
      <c r="K149">
        <v>-68.840748</v>
      </c>
      <c r="L149">
        <v>-32.885853</v>
      </c>
      <c r="O149" s="1" t="s">
        <v>4588</v>
      </c>
      <c r="P149">
        <f t="shared" si="1"/>
        <v>-32.885853</v>
      </c>
      <c r="Q149">
        <f>IFERROR(__xludf.DUMMYFUNCTION("""COMPUTED_VALUE"""),-68.840748)</f>
        <v>-68.840748</v>
      </c>
      <c r="R149" t="str">
        <f>IFERROR(__xludf.DUMMYFUNCTION("""COMPUTED_VALUE"""),"Av, Las Heras 199, Mendoza , Argentina")</f>
        <v>Av, Las Heras 199, Mendoza , Argentina</v>
      </c>
      <c r="S149" t="str">
        <f>IFERROR(__xludf.DUMMYFUNCTION("""COMPUTED_VALUE"""),"Avenida Las Heras 199, Ciudad de Mendoza, Sección 1ª Parque Central, Mendoza, AR")</f>
        <v>Avenida Las Heras 199, Ciudad de Mendoza, Sección 1ª Parque Central, Mendoza, AR</v>
      </c>
    </row>
    <row r="150">
      <c r="A150" s="1">
        <v>836.0</v>
      </c>
      <c r="B150" s="1" t="s">
        <v>55</v>
      </c>
      <c r="C150" s="1">
        <v>4.0</v>
      </c>
      <c r="D150" s="1" t="s">
        <v>2050</v>
      </c>
      <c r="E150" s="1" t="s">
        <v>2882</v>
      </c>
      <c r="F150" s="1" t="s">
        <v>2978</v>
      </c>
      <c r="G150" s="1" t="s">
        <v>4589</v>
      </c>
      <c r="H150" s="1" t="s">
        <v>4589</v>
      </c>
      <c r="I150" s="1" t="s">
        <v>21</v>
      </c>
      <c r="J150" s="1" t="s">
        <v>4590</v>
      </c>
      <c r="K150">
        <v>-68.842158</v>
      </c>
      <c r="L150">
        <v>-32.885619</v>
      </c>
      <c r="O150" s="1" t="s">
        <v>4591</v>
      </c>
      <c r="P150">
        <f t="shared" si="1"/>
        <v>-32.885619</v>
      </c>
      <c r="Q150">
        <f>IFERROR(__xludf.DUMMYFUNCTION("""COMPUTED_VALUE"""),-68.842158)</f>
        <v>-68.842158</v>
      </c>
      <c r="R150" t="str">
        <f>IFERROR(__xludf.DUMMYFUNCTION("""COMPUTED_VALUE"""),"Av, Las Heras 301, Mendoza , Argentina")</f>
        <v>Av, Las Heras 301, Mendoza , Argentina</v>
      </c>
      <c r="S150" t="str">
        <f>IFERROR(__xludf.DUMMYFUNCTION("""COMPUTED_VALUE"""),"Avenida Las Heras 301, Ciudad de Mendoza, Sección 1ª Parque Central, Mendoza, AR")</f>
        <v>Avenida Las Heras 301, Ciudad de Mendoza, Sección 1ª Parque Central, Mendoza, AR</v>
      </c>
    </row>
    <row r="151">
      <c r="A151" s="1">
        <v>854.0</v>
      </c>
      <c r="B151" s="1" t="s">
        <v>55</v>
      </c>
      <c r="C151" s="1">
        <v>5.0</v>
      </c>
      <c r="D151" s="1" t="s">
        <v>4594</v>
      </c>
      <c r="E151" s="1" t="s">
        <v>2882</v>
      </c>
      <c r="F151" s="1" t="s">
        <v>2978</v>
      </c>
      <c r="G151" s="1" t="s">
        <v>4595</v>
      </c>
      <c r="H151" s="1" t="s">
        <v>4595</v>
      </c>
      <c r="I151" s="1" t="s">
        <v>21</v>
      </c>
      <c r="J151" s="1" t="s">
        <v>4596</v>
      </c>
      <c r="K151">
        <v>-68.844661</v>
      </c>
      <c r="L151">
        <v>-32.885196</v>
      </c>
      <c r="O151" s="1" t="s">
        <v>4597</v>
      </c>
      <c r="P151">
        <f t="shared" si="1"/>
        <v>-32.885196</v>
      </c>
      <c r="Q151">
        <f>IFERROR(__xludf.DUMMYFUNCTION("""COMPUTED_VALUE"""),-68.844661)</f>
        <v>-68.844661</v>
      </c>
      <c r="R151" t="str">
        <f>IFERROR(__xludf.DUMMYFUNCTION("""COMPUTED_VALUE"""),"Av, Las Heras 475, Mendoza , Argentina")</f>
        <v>Av, Las Heras 475, Mendoza , Argentina</v>
      </c>
      <c r="S151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152">
      <c r="A152" s="1">
        <v>855.0</v>
      </c>
      <c r="B152" s="1" t="s">
        <v>55</v>
      </c>
      <c r="C152" s="1">
        <v>5.0</v>
      </c>
      <c r="D152" s="1" t="s">
        <v>4598</v>
      </c>
      <c r="E152" s="1" t="s">
        <v>2882</v>
      </c>
      <c r="F152" s="1" t="s">
        <v>2978</v>
      </c>
      <c r="G152" s="1" t="s">
        <v>4599</v>
      </c>
      <c r="H152" s="1" t="s">
        <v>4599</v>
      </c>
      <c r="I152" s="1" t="s">
        <v>21</v>
      </c>
      <c r="J152" s="1" t="s">
        <v>4600</v>
      </c>
      <c r="K152">
        <v>-68.844661</v>
      </c>
      <c r="L152">
        <v>-32.885196</v>
      </c>
      <c r="O152" s="1" t="s">
        <v>4601</v>
      </c>
      <c r="P152">
        <f t="shared" si="1"/>
        <v>-32.885196</v>
      </c>
      <c r="Q152">
        <f>IFERROR(__xludf.DUMMYFUNCTION("""COMPUTED_VALUE"""),-68.844661)</f>
        <v>-68.844661</v>
      </c>
      <c r="R152" t="str">
        <f>IFERROR(__xludf.DUMMYFUNCTION("""COMPUTED_VALUE"""),"Av, Las Heras 485, Mendoza , Argentina")</f>
        <v>Av, Las Heras 485, Mendoza , Argentina</v>
      </c>
      <c r="S152" t="str">
        <f>IFERROR(__xludf.DUMMYFUNCTION("""COMPUTED_VALUE"""),"Avenida Las Heras, Ciudad de Mendoza, Sección 1ª Parque Central, Mendoza, AR")</f>
        <v>Avenida Las Heras, Ciudad de Mendoza, Sección 1ª Parque Central, Mendoza, AR</v>
      </c>
    </row>
    <row r="153">
      <c r="A153" s="1">
        <v>861.0</v>
      </c>
      <c r="B153" s="1" t="s">
        <v>55</v>
      </c>
      <c r="C153" s="1">
        <v>6.0</v>
      </c>
      <c r="D153" s="1" t="s">
        <v>2336</v>
      </c>
      <c r="E153" s="1" t="s">
        <v>2882</v>
      </c>
      <c r="F153" s="1" t="s">
        <v>2978</v>
      </c>
      <c r="G153" s="1" t="s">
        <v>4602</v>
      </c>
      <c r="H153" s="1" t="s">
        <v>4602</v>
      </c>
      <c r="I153" s="1" t="s">
        <v>21</v>
      </c>
      <c r="J153" s="1" t="s">
        <v>4603</v>
      </c>
      <c r="K153">
        <v>-68.845231</v>
      </c>
      <c r="L153">
        <v>-32.884946</v>
      </c>
      <c r="O153" s="1" t="s">
        <v>4604</v>
      </c>
      <c r="P153">
        <f t="shared" si="1"/>
        <v>-32.884946</v>
      </c>
      <c r="Q153">
        <f>IFERROR(__xludf.DUMMYFUNCTION("""COMPUTED_VALUE"""),-68.845231)</f>
        <v>-68.845231</v>
      </c>
      <c r="R153" t="str">
        <f>IFERROR(__xludf.DUMMYFUNCTION("""COMPUTED_VALUE"""),"Av, Las Heras 511, Mendoza , Argentina")</f>
        <v>Av, Las Heras 511, Mendoza , Argentina</v>
      </c>
      <c r="S153" t="str">
        <f>IFERROR(__xludf.DUMMYFUNCTION("""COMPUTED_VALUE"""),"Avenida Las Heras 511, Ciudad de Mendoza, Sección 1ª Parque Central, Mendoza, AR")</f>
        <v>Avenida Las Heras 511, Ciudad de Mendoza, Sección 1ª Parque Central, Mendoza, AR</v>
      </c>
    </row>
    <row r="154">
      <c r="A154" s="1">
        <v>883.0</v>
      </c>
      <c r="B154" s="1" t="s">
        <v>55</v>
      </c>
      <c r="C154" s="1">
        <v>10.0</v>
      </c>
      <c r="D154" s="1" t="s">
        <v>4608</v>
      </c>
      <c r="E154" s="1" t="s">
        <v>2882</v>
      </c>
      <c r="F154" s="1" t="s">
        <v>2978</v>
      </c>
      <c r="G154" s="1" t="s">
        <v>4609</v>
      </c>
      <c r="H154" s="1" t="s">
        <v>4609</v>
      </c>
      <c r="I154" s="1" t="s">
        <v>21</v>
      </c>
      <c r="J154" s="1" t="s">
        <v>4610</v>
      </c>
      <c r="K154">
        <v>-68.846484</v>
      </c>
      <c r="L154">
        <v>-32.884912</v>
      </c>
      <c r="O154" s="1" t="s">
        <v>4611</v>
      </c>
      <c r="P154">
        <f t="shared" si="1"/>
        <v>-32.884912</v>
      </c>
      <c r="Q154">
        <f>IFERROR(__xludf.DUMMYFUNCTION("""COMPUTED_VALUE"""),-68.846484)</f>
        <v>-68.846484</v>
      </c>
      <c r="R154" t="str">
        <f>IFERROR(__xludf.DUMMYFUNCTION("""COMPUTED_VALUE"""),"Av, Las Heras 646, Mendoza , Argentina")</f>
        <v>Av, Las Heras 646, Mendoza , Argentina</v>
      </c>
      <c r="S154" t="str">
        <f>IFERROR(__xludf.DUMMYFUNCTION("""COMPUTED_VALUE"""),"Avenida Las Heras 646, Ciudad de Mendoza, Sección 1ª Parque Central, Mendoza, AR")</f>
        <v>Avenida Las Heras 646, Ciudad de Mendoza, Sección 1ª Parque Central, Mendoza, AR</v>
      </c>
    </row>
    <row r="155">
      <c r="A155" s="1">
        <v>888.0</v>
      </c>
      <c r="B155" s="1" t="s">
        <v>55</v>
      </c>
      <c r="C155" s="1">
        <v>11.0</v>
      </c>
      <c r="D155" s="1" t="s">
        <v>4612</v>
      </c>
      <c r="E155" s="1" t="s">
        <v>2882</v>
      </c>
      <c r="F155" s="1" t="s">
        <v>2978</v>
      </c>
      <c r="G155" s="1" t="s">
        <v>4613</v>
      </c>
      <c r="H155" s="1" t="s">
        <v>4613</v>
      </c>
      <c r="I155" s="1" t="s">
        <v>21</v>
      </c>
      <c r="J155" s="1" t="s">
        <v>4614</v>
      </c>
      <c r="K155">
        <v>-68.844826</v>
      </c>
      <c r="L155">
        <v>-32.885217</v>
      </c>
      <c r="O155" s="1" t="s">
        <v>4615</v>
      </c>
      <c r="P155">
        <f t="shared" si="1"/>
        <v>-32.885217</v>
      </c>
      <c r="Q155">
        <f>IFERROR(__xludf.DUMMYFUNCTION("""COMPUTED_VALUE"""),-68.844826)</f>
        <v>-68.844826</v>
      </c>
      <c r="R155" t="str">
        <f>IFERROR(__xludf.DUMMYFUNCTION("""COMPUTED_VALUE"""),"Av, Las Heras 510, Mendoza , Argentina")</f>
        <v>Av, Las Heras 510, Mendoza , Argentina</v>
      </c>
      <c r="S155" t="str">
        <f>IFERROR(__xludf.DUMMYFUNCTION("""COMPUTED_VALUE"""),"Avenida Las Heras 510, Ciudad de Mendoza, Sección 1ª Parque Central, Mendoza, AR")</f>
        <v>Avenida Las Heras 510, Ciudad de Mendoza, Sección 1ª Parque Central, Mendoza, AR</v>
      </c>
    </row>
    <row r="156">
      <c r="A156" s="1">
        <v>891.0</v>
      </c>
      <c r="B156" s="1" t="s">
        <v>55</v>
      </c>
      <c r="C156" s="1">
        <v>11.0</v>
      </c>
      <c r="D156" s="1" t="s">
        <v>4617</v>
      </c>
      <c r="E156" s="1" t="s">
        <v>2882</v>
      </c>
      <c r="F156" s="1" t="s">
        <v>2978</v>
      </c>
      <c r="G156" s="1" t="s">
        <v>4619</v>
      </c>
      <c r="H156" s="1" t="s">
        <v>4619</v>
      </c>
      <c r="I156" s="1" t="s">
        <v>21</v>
      </c>
      <c r="J156" s="1" t="s">
        <v>4620</v>
      </c>
      <c r="K156">
        <v>-68.8451</v>
      </c>
      <c r="L156">
        <v>-32.885167</v>
      </c>
      <c r="O156" s="1" t="s">
        <v>4622</v>
      </c>
      <c r="P156">
        <f t="shared" si="1"/>
        <v>-32.885167</v>
      </c>
      <c r="Q156">
        <f>IFERROR(__xludf.DUMMYFUNCTION("""COMPUTED_VALUE"""),-68.8451)</f>
        <v>-68.8451</v>
      </c>
      <c r="R156" t="str">
        <f>IFERROR(__xludf.DUMMYFUNCTION("""COMPUTED_VALUE"""),"Av, Las Heras 534, Mendoza , Argentina")</f>
        <v>Av, Las Heras 534, Mendoza , Argentina</v>
      </c>
      <c r="S156" t="str">
        <f>IFERROR(__xludf.DUMMYFUNCTION("""COMPUTED_VALUE"""),"Avenida Las Heras 534, Ciudad de Mendoza, Sección 1ª Parque Central, Mendoza, AR")</f>
        <v>Avenida Las Heras 534, Ciudad de Mendoza, Sección 1ª Parque Central, Mendoza, AR</v>
      </c>
    </row>
    <row r="157">
      <c r="A157" s="1">
        <v>898.0</v>
      </c>
      <c r="B157" s="1" t="s">
        <v>55</v>
      </c>
      <c r="C157" s="1">
        <v>11.0</v>
      </c>
      <c r="D157" s="1" t="s">
        <v>4623</v>
      </c>
      <c r="E157" s="1" t="s">
        <v>2882</v>
      </c>
      <c r="F157" s="1" t="s">
        <v>2978</v>
      </c>
      <c r="G157" s="1" t="s">
        <v>3795</v>
      </c>
      <c r="H157" s="1" t="s">
        <v>4624</v>
      </c>
      <c r="I157" s="1" t="s">
        <v>21</v>
      </c>
      <c r="J157" s="1" t="s">
        <v>3798</v>
      </c>
      <c r="K157">
        <v>-68.845741</v>
      </c>
      <c r="L157">
        <v>-32.885103</v>
      </c>
      <c r="O157" s="1" t="s">
        <v>3799</v>
      </c>
      <c r="P157">
        <f t="shared" si="1"/>
        <v>-32.885103</v>
      </c>
      <c r="Q157">
        <f>IFERROR(__xludf.DUMMYFUNCTION("""COMPUTED_VALUE"""),-68.845741)</f>
        <v>-68.845741</v>
      </c>
      <c r="R157" t="str">
        <f>IFERROR(__xludf.DUMMYFUNCTION("""COMPUTED_VALUE"""),"Av, Las Heras 590, Mendoza , Argentina")</f>
        <v>Av, Las Heras 590, Mendoza , Argentina</v>
      </c>
      <c r="S157" t="str">
        <f>IFERROR(__xludf.DUMMYFUNCTION("""COMPUTED_VALUE"""),"Avenida Las Heras 590, Ciudad de Mendoza, Sección 1ª Parque Central, Mendoza, AR")</f>
        <v>Avenida Las Heras 590, Ciudad de Mendoza, Sección 1ª Parque Central, Mendoza, AR</v>
      </c>
    </row>
    <row r="158">
      <c r="A158" s="1">
        <v>905.0</v>
      </c>
      <c r="B158" s="1" t="s">
        <v>55</v>
      </c>
      <c r="C158" s="1">
        <v>12.0</v>
      </c>
      <c r="D158" s="1" t="s">
        <v>4625</v>
      </c>
      <c r="E158" s="1" t="s">
        <v>2882</v>
      </c>
      <c r="F158" s="1" t="s">
        <v>2978</v>
      </c>
      <c r="G158" s="1" t="s">
        <v>4626</v>
      </c>
      <c r="H158" s="1" t="s">
        <v>4626</v>
      </c>
      <c r="I158" s="1" t="s">
        <v>21</v>
      </c>
      <c r="J158" s="1" t="s">
        <v>4627</v>
      </c>
      <c r="K158">
        <v>-68.843631</v>
      </c>
      <c r="L158">
        <v>-32.885434</v>
      </c>
      <c r="O158" s="1" t="s">
        <v>4628</v>
      </c>
      <c r="P158">
        <f t="shared" si="1"/>
        <v>-32.885434</v>
      </c>
      <c r="Q158">
        <f>IFERROR(__xludf.DUMMYFUNCTION("""COMPUTED_VALUE"""),-68.843631)</f>
        <v>-68.843631</v>
      </c>
      <c r="R158" t="str">
        <f>IFERROR(__xludf.DUMMYFUNCTION("""COMPUTED_VALUE"""),"Av, Las Heras 414, Mendoza , Argentina")</f>
        <v>Av, Las Heras 414, Mendoza , Argentina</v>
      </c>
      <c r="S158" t="str">
        <f>IFERROR(__xludf.DUMMYFUNCTION("""COMPUTED_VALUE"""),"Avenida Las Heras 414, Ciudad de Mendoza, Sección 1ª Parque Central, Mendoza, AR")</f>
        <v>Avenida Las Heras 414, Ciudad de Mendoza, Sección 1ª Parque Central, Mendoza, AR</v>
      </c>
    </row>
    <row r="159">
      <c r="A159" s="1">
        <v>909.0</v>
      </c>
      <c r="B159" s="1" t="s">
        <v>55</v>
      </c>
      <c r="C159" s="1">
        <v>12.0</v>
      </c>
      <c r="D159" s="1" t="s">
        <v>4629</v>
      </c>
      <c r="E159" s="1" t="s">
        <v>2882</v>
      </c>
      <c r="F159" s="1" t="s">
        <v>2978</v>
      </c>
      <c r="G159" s="1" t="s">
        <v>4630</v>
      </c>
      <c r="H159" s="1" t="s">
        <v>4630</v>
      </c>
      <c r="I159" s="1" t="s">
        <v>21</v>
      </c>
      <c r="J159" s="1" t="s">
        <v>4631</v>
      </c>
      <c r="K159">
        <v>-68.844</v>
      </c>
      <c r="L159">
        <v>-32.885368</v>
      </c>
      <c r="O159" s="1" t="s">
        <v>4632</v>
      </c>
      <c r="P159">
        <f t="shared" si="1"/>
        <v>-32.885368</v>
      </c>
      <c r="Q159">
        <f>IFERROR(__xludf.DUMMYFUNCTION("""COMPUTED_VALUE"""),-68.844)</f>
        <v>-68.844</v>
      </c>
      <c r="R159" t="str">
        <f>IFERROR(__xludf.DUMMYFUNCTION("""COMPUTED_VALUE"""),"Av, Las Heras 446, Mendoza , Argentina")</f>
        <v>Av, Las Heras 446, Mendoza , Argentina</v>
      </c>
      <c r="S159" t="str">
        <f>IFERROR(__xludf.DUMMYFUNCTION("""COMPUTED_VALUE"""),"Avenida Las Heras 446, Ciudad de Mendoza, Sección 1ª Parque Central, Mendoza, AR")</f>
        <v>Avenida Las Heras 446, Ciudad de Mendoza, Sección 1ª Parque Central, Mendoza, AR</v>
      </c>
    </row>
    <row r="160">
      <c r="A160" s="1">
        <v>911.0</v>
      </c>
      <c r="B160" s="1" t="s">
        <v>55</v>
      </c>
      <c r="C160" s="1">
        <v>12.0</v>
      </c>
      <c r="D160" s="1" t="s">
        <v>4635</v>
      </c>
      <c r="E160" s="1" t="s">
        <v>2882</v>
      </c>
      <c r="F160" s="1" t="s">
        <v>2978</v>
      </c>
      <c r="G160" s="1" t="s">
        <v>4271</v>
      </c>
      <c r="H160" s="1" t="s">
        <v>4636</v>
      </c>
      <c r="I160" s="1" t="s">
        <v>21</v>
      </c>
      <c r="J160" s="1" t="s">
        <v>4276</v>
      </c>
      <c r="K160">
        <v>-68.844484</v>
      </c>
      <c r="L160">
        <v>-32.885281</v>
      </c>
      <c r="O160" s="1" t="s">
        <v>4278</v>
      </c>
      <c r="P160">
        <f t="shared" si="1"/>
        <v>-32.885281</v>
      </c>
      <c r="Q160">
        <f>IFERROR(__xludf.DUMMYFUNCTION("""COMPUTED_VALUE"""),-68.844484)</f>
        <v>-68.844484</v>
      </c>
      <c r="R160" t="str">
        <f>IFERROR(__xludf.DUMMYFUNCTION("""COMPUTED_VALUE"""),"Av, Las Heras 488, Mendoza , Argentina")</f>
        <v>Av, Las Heras 488, Mendoza , Argentina</v>
      </c>
      <c r="S160" t="str">
        <f>IFERROR(__xludf.DUMMYFUNCTION("""COMPUTED_VALUE"""),"Avenida Las Heras 488, Ciudad de Mendoza, Sección 1ª Parque Central, Mendoza, AR")</f>
        <v>Avenida Las Heras 488, Ciudad de Mendoza, Sección 1ª Parque Central, Mendoza, AR</v>
      </c>
    </row>
    <row r="161">
      <c r="A161" s="1">
        <v>920.0</v>
      </c>
      <c r="B161" s="1" t="s">
        <v>55</v>
      </c>
      <c r="C161" s="1">
        <v>13.0</v>
      </c>
      <c r="D161" s="1" t="s">
        <v>4637</v>
      </c>
      <c r="E161" s="1" t="s">
        <v>2882</v>
      </c>
      <c r="F161" s="1" t="s">
        <v>2978</v>
      </c>
      <c r="G161" s="1" t="s">
        <v>4638</v>
      </c>
      <c r="H161" s="1" t="s">
        <v>4638</v>
      </c>
      <c r="I161" s="1" t="s">
        <v>21</v>
      </c>
      <c r="J161" s="1" t="s">
        <v>4639</v>
      </c>
      <c r="K161">
        <v>-68.842817</v>
      </c>
      <c r="L161">
        <v>-32.885599</v>
      </c>
      <c r="O161" s="1" t="s">
        <v>4640</v>
      </c>
      <c r="P161">
        <f t="shared" si="1"/>
        <v>-32.885599</v>
      </c>
      <c r="Q161">
        <f>IFERROR(__xludf.DUMMYFUNCTION("""COMPUTED_VALUE"""),-68.842817)</f>
        <v>-68.842817</v>
      </c>
      <c r="R161" t="str">
        <f>IFERROR(__xludf.DUMMYFUNCTION("""COMPUTED_VALUE"""),"Av, Las Heras 362, Mendoza , Argentina")</f>
        <v>Av, Las Heras 362, Mendoza , Argentina</v>
      </c>
      <c r="S161" t="str">
        <f>IFERROR(__xludf.DUMMYFUNCTION("""COMPUTED_VALUE"""),"Avenida Las Heras 362, Ciudad de Mendoza, Sección 1ª Parque Central, Mendoza, AR")</f>
        <v>Avenida Las Heras 362, Ciudad de Mendoza, Sección 1ª Parque Central, Mendoza, AR</v>
      </c>
    </row>
    <row r="162">
      <c r="A162" s="1">
        <v>926.0</v>
      </c>
      <c r="B162" s="1" t="s">
        <v>55</v>
      </c>
      <c r="C162" s="1">
        <v>14.0</v>
      </c>
      <c r="D162" s="1" t="s">
        <v>2042</v>
      </c>
      <c r="E162" s="1" t="s">
        <v>2882</v>
      </c>
      <c r="F162" s="1" t="s">
        <v>2978</v>
      </c>
      <c r="G162" s="1" t="s">
        <v>2044</v>
      </c>
      <c r="H162" s="1" t="s">
        <v>2044</v>
      </c>
      <c r="I162" s="1" t="s">
        <v>21</v>
      </c>
      <c r="J162" s="1" t="s">
        <v>4641</v>
      </c>
      <c r="K162">
        <v>-68.841298</v>
      </c>
      <c r="L162">
        <v>-32.885915</v>
      </c>
      <c r="O162" s="1" t="s">
        <v>4643</v>
      </c>
      <c r="P162">
        <f t="shared" si="1"/>
        <v>-32.885915</v>
      </c>
      <c r="Q162">
        <f>IFERROR(__xludf.DUMMYFUNCTION("""COMPUTED_VALUE"""),-68.841298)</f>
        <v>-68.841298</v>
      </c>
      <c r="R162" t="str">
        <f>IFERROR(__xludf.DUMMYFUNCTION("""COMPUTED_VALUE"""),"Av, Las Heras 242, Mendoza , Argentina")</f>
        <v>Av, Las Heras 242, Mendoza , Argentina</v>
      </c>
      <c r="S162" t="str">
        <f>IFERROR(__xludf.DUMMYFUNCTION("""COMPUTED_VALUE"""),"Avenida Las Heras 242, Ciudad de Mendoza, Sección 1ª Parque Central, Mendoza, AR")</f>
        <v>Avenida Las Heras 242, Ciudad de Mendoza, Sección 1ª Parque Central, Mendoza, AR</v>
      </c>
    </row>
    <row r="163">
      <c r="A163" s="1">
        <v>936.0</v>
      </c>
      <c r="B163" s="1" t="s">
        <v>55</v>
      </c>
      <c r="C163" s="1">
        <v>14.0</v>
      </c>
      <c r="D163" s="1" t="s">
        <v>4228</v>
      </c>
      <c r="E163" s="1" t="s">
        <v>2882</v>
      </c>
      <c r="F163" s="1" t="s">
        <v>2978</v>
      </c>
      <c r="G163" s="1" t="s">
        <v>4648</v>
      </c>
      <c r="H163" s="1" t="s">
        <v>4648</v>
      </c>
      <c r="I163" s="1" t="s">
        <v>21</v>
      </c>
      <c r="J163" s="1" t="s">
        <v>4649</v>
      </c>
      <c r="K163">
        <v>-68.841984</v>
      </c>
      <c r="L163">
        <v>-32.885752</v>
      </c>
      <c r="O163" s="1" t="s">
        <v>4650</v>
      </c>
      <c r="P163">
        <f t="shared" si="1"/>
        <v>-32.885752</v>
      </c>
      <c r="Q163">
        <f>IFERROR(__xludf.DUMMYFUNCTION("""COMPUTED_VALUE"""),-68.841984)</f>
        <v>-68.841984</v>
      </c>
      <c r="R163" t="str">
        <f>IFERROR(__xludf.DUMMYFUNCTION("""COMPUTED_VALUE"""),"Av, Las Heras 298, Mendoza , Argentina")</f>
        <v>Av, Las Heras 298, Mendoza , Argentina</v>
      </c>
      <c r="S163" t="str">
        <f>IFERROR(__xludf.DUMMYFUNCTION("""COMPUTED_VALUE"""),"Avenida Las Heras 298, Ciudad de Mendoza, Sección 1ª Parque Central, Mendoza, AR")</f>
        <v>Avenida Las Heras 298, Ciudad de Mendoza, Sección 1ª Parque Central, Mendoza, AR</v>
      </c>
    </row>
    <row r="164">
      <c r="A164" s="1">
        <v>939.0</v>
      </c>
      <c r="B164" s="1" t="s">
        <v>55</v>
      </c>
      <c r="C164" s="1">
        <v>14.0</v>
      </c>
      <c r="D164" s="1" t="s">
        <v>4651</v>
      </c>
      <c r="E164" s="1" t="s">
        <v>2882</v>
      </c>
      <c r="F164" s="1" t="s">
        <v>2978</v>
      </c>
      <c r="G164" s="1" t="s">
        <v>4652</v>
      </c>
      <c r="H164" s="1" t="s">
        <v>4652</v>
      </c>
      <c r="I164" s="1" t="s">
        <v>21</v>
      </c>
      <c r="J164" s="1" t="s">
        <v>4653</v>
      </c>
      <c r="K164">
        <v>-100.445882</v>
      </c>
      <c r="L164">
        <v>39.78373</v>
      </c>
      <c r="O164" s="1" t="s">
        <v>4654</v>
      </c>
      <c r="P164">
        <f t="shared" si="1"/>
        <v>39.78373</v>
      </c>
      <c r="Q164">
        <f>IFERROR(__xludf.DUMMYFUNCTION("""COMPUTED_VALUE"""),-100.445882)</f>
        <v>-100.445882</v>
      </c>
      <c r="R164" t="str">
        <f>IFERROR(__xludf.DUMMYFUNCTION("""COMPUTED_VALUE"""),"España y Av, Las Heras 1492, Mendoza , Argentina")</f>
        <v>España y Av, Las Heras 1492, Mendoza , Argentina</v>
      </c>
      <c r="S164" t="str">
        <f>IFERROR(__xludf.DUMMYFUNCTION("""COMPUTED_VALUE"""),"US")</f>
        <v>US</v>
      </c>
    </row>
    <row r="165">
      <c r="A165" s="1">
        <v>964.0</v>
      </c>
      <c r="B165" s="1" t="s">
        <v>55</v>
      </c>
      <c r="C165" s="1">
        <v>16.0</v>
      </c>
      <c r="D165" s="1" t="s">
        <v>4235</v>
      </c>
      <c r="E165" s="1" t="s">
        <v>2882</v>
      </c>
      <c r="F165" s="1" t="s">
        <v>2978</v>
      </c>
      <c r="G165" s="1" t="s">
        <v>4659</v>
      </c>
      <c r="H165" s="1" t="s">
        <v>4659</v>
      </c>
      <c r="I165" s="1" t="s">
        <v>21</v>
      </c>
      <c r="J165" s="1" t="s">
        <v>4660</v>
      </c>
      <c r="K165">
        <v>-100.445882</v>
      </c>
      <c r="L165">
        <v>39.78373</v>
      </c>
      <c r="O165" s="1" t="s">
        <v>4661</v>
      </c>
      <c r="P165">
        <f t="shared" si="1"/>
        <v>39.78373</v>
      </c>
      <c r="Q165">
        <f>IFERROR(__xludf.DUMMYFUNCTION("""COMPUTED_VALUE"""),-100.445882)</f>
        <v>-100.445882</v>
      </c>
      <c r="R165" t="str">
        <f>IFERROR(__xludf.DUMMYFUNCTION("""COMPUTED_VALUE"""),"San Martín y Av, Las Heras 1498, Mendoza , Argentina")</f>
        <v>San Martín y Av, Las Heras 1498, Mendoza , Argentina</v>
      </c>
      <c r="S165" t="str">
        <f>IFERROR(__xludf.DUMMYFUNCTION("""COMPUTED_VALUE"""),"US")</f>
        <v>US</v>
      </c>
    </row>
    <row r="166">
      <c r="A166" s="1">
        <v>966.0</v>
      </c>
      <c r="B166" s="1" t="s">
        <v>62</v>
      </c>
      <c r="C166" s="1">
        <v>1.0</v>
      </c>
      <c r="D166" s="1" t="s">
        <v>4664</v>
      </c>
      <c r="E166" s="1" t="s">
        <v>2882</v>
      </c>
      <c r="F166" s="1" t="s">
        <v>2978</v>
      </c>
      <c r="G166" s="1" t="s">
        <v>4665</v>
      </c>
      <c r="H166" s="1" t="s">
        <v>4665</v>
      </c>
      <c r="I166" s="1" t="s">
        <v>21</v>
      </c>
      <c r="J166" s="1" t="s">
        <v>4667</v>
      </c>
      <c r="K166">
        <v>-68.845681</v>
      </c>
      <c r="L166">
        <v>-32.894025</v>
      </c>
      <c r="O166" s="1" t="s">
        <v>4668</v>
      </c>
      <c r="P166">
        <f t="shared" si="1"/>
        <v>-32.894025</v>
      </c>
      <c r="Q166">
        <f>IFERROR(__xludf.DUMMYFUNCTION("""COMPUTED_VALUE"""),-68.845681)</f>
        <v>-68.845681</v>
      </c>
      <c r="R166" t="str">
        <f>IFERROR(__xludf.DUMMYFUNCTION("""COMPUTED_VALUE"""),"Av, Colón 107, Mendoza , Argentina")</f>
        <v>Av, Colón 107, Mendoza , Argentina</v>
      </c>
      <c r="S166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67">
      <c r="A167" s="1">
        <v>970.0</v>
      </c>
      <c r="B167" s="1" t="s">
        <v>62</v>
      </c>
      <c r="C167" s="1">
        <v>2.0</v>
      </c>
      <c r="D167" s="1" t="s">
        <v>3750</v>
      </c>
      <c r="E167" s="1" t="s">
        <v>2882</v>
      </c>
      <c r="F167" s="1" t="s">
        <v>2978</v>
      </c>
      <c r="G167" s="1" t="s">
        <v>4669</v>
      </c>
      <c r="H167" s="1" t="s">
        <v>4670</v>
      </c>
      <c r="I167" s="1" t="s">
        <v>21</v>
      </c>
      <c r="J167" s="1" t="s">
        <v>4671</v>
      </c>
      <c r="K167">
        <v>-68.845681</v>
      </c>
      <c r="L167">
        <v>-32.894025</v>
      </c>
      <c r="O167" s="1" t="s">
        <v>4672</v>
      </c>
      <c r="P167">
        <f t="shared" si="1"/>
        <v>-32.894025</v>
      </c>
      <c r="Q167">
        <f>IFERROR(__xludf.DUMMYFUNCTION("""COMPUTED_VALUE"""),-68.845681)</f>
        <v>-68.845681</v>
      </c>
      <c r="R167" t="str">
        <f>IFERROR(__xludf.DUMMYFUNCTION("""COMPUTED_VALUE"""),"Av, Colón 121, Mendoza , Argentina")</f>
        <v>Av, Colón 121, Mendoza , Argentina</v>
      </c>
      <c r="S167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68">
      <c r="A168" s="1">
        <v>979.0</v>
      </c>
      <c r="B168" s="1" t="s">
        <v>62</v>
      </c>
      <c r="C168" s="1">
        <v>3.0</v>
      </c>
      <c r="D168" s="1" t="s">
        <v>4677</v>
      </c>
      <c r="E168" s="1" t="s">
        <v>2882</v>
      </c>
      <c r="F168" s="1" t="s">
        <v>2978</v>
      </c>
      <c r="G168" s="1" t="s">
        <v>4679</v>
      </c>
      <c r="H168" s="1" t="s">
        <v>4679</v>
      </c>
      <c r="I168" s="1" t="s">
        <v>21</v>
      </c>
      <c r="J168" s="1" t="s">
        <v>4680</v>
      </c>
      <c r="K168">
        <v>-68.845681</v>
      </c>
      <c r="L168">
        <v>-32.894025</v>
      </c>
      <c r="O168" s="1" t="s">
        <v>4681</v>
      </c>
      <c r="P168">
        <f t="shared" si="1"/>
        <v>-32.894025</v>
      </c>
      <c r="Q168">
        <f>IFERROR(__xludf.DUMMYFUNCTION("""COMPUTED_VALUE"""),-68.845681)</f>
        <v>-68.845681</v>
      </c>
      <c r="R168" t="str">
        <f>IFERROR(__xludf.DUMMYFUNCTION("""COMPUTED_VALUE"""),"Av, Colón 207, Mendoza , Argentina")</f>
        <v>Av, Colón 207, Mendoza , Argentina</v>
      </c>
      <c r="S16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69">
      <c r="A169" s="1">
        <v>996.0</v>
      </c>
      <c r="B169" s="1" t="s">
        <v>62</v>
      </c>
      <c r="C169" s="1">
        <v>4.0</v>
      </c>
      <c r="D169" s="1" t="s">
        <v>2976</v>
      </c>
      <c r="E169" s="1" t="s">
        <v>2882</v>
      </c>
      <c r="F169" s="1" t="s">
        <v>2978</v>
      </c>
      <c r="G169" s="1" t="s">
        <v>4682</v>
      </c>
      <c r="H169" s="1" t="s">
        <v>4683</v>
      </c>
      <c r="I169" s="1" t="s">
        <v>21</v>
      </c>
      <c r="J169" s="1" t="s">
        <v>4684</v>
      </c>
      <c r="K169">
        <v>-68.845681</v>
      </c>
      <c r="L169">
        <v>-32.894025</v>
      </c>
      <c r="O169" s="1" t="s">
        <v>4685</v>
      </c>
      <c r="P169">
        <f t="shared" si="1"/>
        <v>-32.894025</v>
      </c>
      <c r="Q169">
        <f>IFERROR(__xludf.DUMMYFUNCTION("""COMPUTED_VALUE"""),-68.845681)</f>
        <v>-68.845681</v>
      </c>
      <c r="R169" t="str">
        <f>IFERROR(__xludf.DUMMYFUNCTION("""COMPUTED_VALUE"""),"Av, Colón 349, Mendoza , Argentina")</f>
        <v>Av, Colón 349, Mendoza , Argentina</v>
      </c>
      <c r="S169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0">
      <c r="A170" s="1">
        <v>998.0</v>
      </c>
      <c r="B170" s="1" t="s">
        <v>62</v>
      </c>
      <c r="C170" s="1">
        <v>4.0</v>
      </c>
      <c r="D170" s="1" t="s">
        <v>2050</v>
      </c>
      <c r="E170" s="1" t="s">
        <v>2882</v>
      </c>
      <c r="F170" s="1" t="s">
        <v>2978</v>
      </c>
      <c r="G170" s="1" t="s">
        <v>2053</v>
      </c>
      <c r="H170" s="1" t="s">
        <v>2053</v>
      </c>
      <c r="I170" s="1" t="s">
        <v>21</v>
      </c>
      <c r="J170" s="1" t="s">
        <v>4690</v>
      </c>
      <c r="K170">
        <v>-68.845681</v>
      </c>
      <c r="L170">
        <v>-32.894025</v>
      </c>
      <c r="O170" s="1" t="s">
        <v>4691</v>
      </c>
      <c r="P170">
        <f t="shared" si="1"/>
        <v>-32.894025</v>
      </c>
      <c r="Q170">
        <f>IFERROR(__xludf.DUMMYFUNCTION("""COMPUTED_VALUE"""),-68.845681)</f>
        <v>-68.845681</v>
      </c>
      <c r="R170" t="str">
        <f>IFERROR(__xludf.DUMMYFUNCTION("""COMPUTED_VALUE"""),"Av, Colón 385, Mendoza , Argentina")</f>
        <v>Av, Colón 385, Mendoza , Argentina</v>
      </c>
      <c r="S17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1">
      <c r="A171" s="1">
        <v>1000.0</v>
      </c>
      <c r="B171" s="1" t="s">
        <v>62</v>
      </c>
      <c r="C171" s="1">
        <v>5.0</v>
      </c>
      <c r="D171" s="1" t="s">
        <v>4692</v>
      </c>
      <c r="E171" s="1" t="s">
        <v>2882</v>
      </c>
      <c r="F171" s="1" t="s">
        <v>2978</v>
      </c>
      <c r="G171" s="1" t="s">
        <v>473</v>
      </c>
      <c r="H171" s="1" t="s">
        <v>2879</v>
      </c>
      <c r="I171" s="1" t="s">
        <v>21</v>
      </c>
      <c r="J171" s="1" t="s">
        <v>476</v>
      </c>
      <c r="K171">
        <v>-68.845681</v>
      </c>
      <c r="L171">
        <v>-32.894025</v>
      </c>
      <c r="O171" s="1" t="s">
        <v>2433</v>
      </c>
      <c r="P171">
        <f t="shared" si="1"/>
        <v>-32.894025</v>
      </c>
      <c r="Q171">
        <f>IFERROR(__xludf.DUMMYFUNCTION("""COMPUTED_VALUE"""),-68.845681)</f>
        <v>-68.845681</v>
      </c>
      <c r="R171" t="str">
        <f>IFERROR(__xludf.DUMMYFUNCTION("""COMPUTED_VALUE"""),"Av, Colón 423, Mendoza , Argentina")</f>
        <v>Av, Colón 423, Mendoza , Argentina</v>
      </c>
      <c r="S17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2">
      <c r="A172" s="1">
        <v>1009.0</v>
      </c>
      <c r="B172" s="1" t="s">
        <v>62</v>
      </c>
      <c r="C172" s="1">
        <v>6.0</v>
      </c>
      <c r="D172" s="1" t="s">
        <v>2310</v>
      </c>
      <c r="E172" s="1" t="s">
        <v>2882</v>
      </c>
      <c r="F172" s="1" t="s">
        <v>2978</v>
      </c>
      <c r="G172" s="1" t="s">
        <v>600</v>
      </c>
      <c r="H172" s="1" t="s">
        <v>4694</v>
      </c>
      <c r="I172" s="1" t="s">
        <v>21</v>
      </c>
      <c r="J172" s="1" t="s">
        <v>603</v>
      </c>
      <c r="K172">
        <v>-68.847317</v>
      </c>
      <c r="L172">
        <v>-32.893618</v>
      </c>
      <c r="O172" s="1" t="s">
        <v>4696</v>
      </c>
      <c r="P172">
        <f t="shared" si="1"/>
        <v>-32.893618</v>
      </c>
      <c r="Q172">
        <f>IFERROR(__xludf.DUMMYFUNCTION("""COMPUTED_VALUE"""),-68.847317)</f>
        <v>-68.847317</v>
      </c>
      <c r="R172" t="str">
        <f>IFERROR(__xludf.DUMMYFUNCTION("""COMPUTED_VALUE"""),"Av, Colón 531, Mendoza , Argentina")</f>
        <v>Av, Colón 531, Mendoza , Argentina</v>
      </c>
      <c r="S172" t="str">
        <f>IFERROR(__xludf.DUMMYFUNCTION("""COMPUTED_VALUE"""),"Avenida Colón 531, Ciudad de Mendoza, Sección 2ª Barrio Cívico, Mendoza, AR")</f>
        <v>Avenida Colón 531, Ciudad de Mendoza, Sección 2ª Barrio Cívico, Mendoza, AR</v>
      </c>
    </row>
    <row r="173">
      <c r="A173" s="1">
        <v>1011.0</v>
      </c>
      <c r="B173" s="1" t="s">
        <v>62</v>
      </c>
      <c r="C173" s="1">
        <v>6.0</v>
      </c>
      <c r="D173" s="1" t="s">
        <v>2336</v>
      </c>
      <c r="E173" s="1" t="s">
        <v>2882</v>
      </c>
      <c r="F173" s="1" t="s">
        <v>2978</v>
      </c>
      <c r="G173" s="1" t="s">
        <v>600</v>
      </c>
      <c r="H173" s="1" t="s">
        <v>4699</v>
      </c>
      <c r="I173" s="1" t="s">
        <v>21</v>
      </c>
      <c r="J173" s="1" t="s">
        <v>603</v>
      </c>
      <c r="K173">
        <v>-68.847317</v>
      </c>
      <c r="L173">
        <v>-32.893618</v>
      </c>
      <c r="O173" s="1" t="s">
        <v>4696</v>
      </c>
      <c r="P173">
        <f t="shared" si="1"/>
        <v>-32.893618</v>
      </c>
      <c r="Q173">
        <f>IFERROR(__xludf.DUMMYFUNCTION("""COMPUTED_VALUE"""),-68.847317)</f>
        <v>-68.847317</v>
      </c>
      <c r="R173" t="str">
        <f>IFERROR(__xludf.DUMMYFUNCTION("""COMPUTED_VALUE"""),"Av, Colón 531, Mendoza , Argentina")</f>
        <v>Av, Colón 531, Mendoza , Argentina</v>
      </c>
      <c r="S173" t="str">
        <f>IFERROR(__xludf.DUMMYFUNCTION("""COMPUTED_VALUE"""),"Avenida Colón 531, Ciudad de Mendoza, Sección 2ª Barrio Cívico, Mendoza, AR")</f>
        <v>Avenida Colón 531, Ciudad de Mendoza, Sección 2ª Barrio Cívico, Mendoza, AR</v>
      </c>
    </row>
    <row r="174">
      <c r="A174" s="1">
        <v>1016.0</v>
      </c>
      <c r="B174" s="1" t="s">
        <v>62</v>
      </c>
      <c r="C174" s="1">
        <v>7.0</v>
      </c>
      <c r="D174" s="1" t="s">
        <v>4703</v>
      </c>
      <c r="E174" s="1" t="s">
        <v>2882</v>
      </c>
      <c r="F174" s="1" t="s">
        <v>2978</v>
      </c>
      <c r="G174" s="1" t="s">
        <v>4704</v>
      </c>
      <c r="H174" s="1" t="s">
        <v>4704</v>
      </c>
      <c r="I174" s="1" t="s">
        <v>21</v>
      </c>
      <c r="J174" s="1" t="s">
        <v>4705</v>
      </c>
      <c r="K174">
        <v>-68.845681</v>
      </c>
      <c r="L174">
        <v>-32.894025</v>
      </c>
      <c r="O174" s="1" t="s">
        <v>4706</v>
      </c>
      <c r="P174">
        <f t="shared" si="1"/>
        <v>-32.894025</v>
      </c>
      <c r="Q174">
        <f>IFERROR(__xludf.DUMMYFUNCTION("""COMPUTED_VALUE"""),-68.845681)</f>
        <v>-68.845681</v>
      </c>
      <c r="R174" t="str">
        <f>IFERROR(__xludf.DUMMYFUNCTION("""COMPUTED_VALUE"""),"Av, Colón 601, Mendoza , Argentina")</f>
        <v>Av, Colón 601, Mendoza , Argentina</v>
      </c>
      <c r="S174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5">
      <c r="A175" s="1">
        <v>1048.0</v>
      </c>
      <c r="B175" s="1" t="s">
        <v>62</v>
      </c>
      <c r="C175" s="1">
        <v>11.0</v>
      </c>
      <c r="D175" s="1" t="s">
        <v>4707</v>
      </c>
      <c r="E175" s="1" t="s">
        <v>2882</v>
      </c>
      <c r="F175" s="1" t="s">
        <v>2978</v>
      </c>
      <c r="G175" s="1" t="s">
        <v>2112</v>
      </c>
      <c r="H175" s="1" t="s">
        <v>2112</v>
      </c>
      <c r="I175" s="1" t="s">
        <v>21</v>
      </c>
      <c r="J175" s="1" t="s">
        <v>4708</v>
      </c>
      <c r="K175">
        <v>-68.847379</v>
      </c>
      <c r="L175">
        <v>-32.893786</v>
      </c>
      <c r="O175" s="1" t="s">
        <v>4709</v>
      </c>
      <c r="P175">
        <f t="shared" si="1"/>
        <v>-32.893786</v>
      </c>
      <c r="Q175">
        <f>IFERROR(__xludf.DUMMYFUNCTION("""COMPUTED_VALUE"""),-68.847379)</f>
        <v>-68.847379</v>
      </c>
      <c r="R175" t="str">
        <f>IFERROR(__xludf.DUMMYFUNCTION("""COMPUTED_VALUE"""),"Av, Colón 532, Mendoza , Argentina")</f>
        <v>Av, Colón 532, Mendoza , Argentina</v>
      </c>
      <c r="S175" t="str">
        <f>IFERROR(__xludf.DUMMYFUNCTION("""COMPUTED_VALUE"""),"Avenida Colón 532, Ciudad de Mendoza, Sección 2ª Barrio Cívico, Mendoza, AR")</f>
        <v>Avenida Colón 532, Ciudad de Mendoza, Sección 2ª Barrio Cívico, Mendoza, AR</v>
      </c>
    </row>
    <row r="176">
      <c r="A176" s="1">
        <v>1051.0</v>
      </c>
      <c r="B176" s="1" t="s">
        <v>62</v>
      </c>
      <c r="C176" s="1">
        <v>11.0</v>
      </c>
      <c r="D176" s="1" t="s">
        <v>1582</v>
      </c>
      <c r="E176" s="1" t="s">
        <v>2882</v>
      </c>
      <c r="F176" s="1" t="s">
        <v>2978</v>
      </c>
      <c r="G176" s="1" t="s">
        <v>1585</v>
      </c>
      <c r="H176" s="1" t="s">
        <v>1585</v>
      </c>
      <c r="I176" s="1" t="s">
        <v>21</v>
      </c>
      <c r="J176" s="1" t="s">
        <v>4715</v>
      </c>
      <c r="K176">
        <v>-68.847066</v>
      </c>
      <c r="L176">
        <v>-32.893842</v>
      </c>
      <c r="O176" s="1" t="s">
        <v>4716</v>
      </c>
      <c r="P176">
        <f t="shared" si="1"/>
        <v>-32.893842</v>
      </c>
      <c r="Q176">
        <f>IFERROR(__xludf.DUMMYFUNCTION("""COMPUTED_VALUE"""),-68.847066)</f>
        <v>-68.847066</v>
      </c>
      <c r="R176" t="str">
        <f>IFERROR(__xludf.DUMMYFUNCTION("""COMPUTED_VALUE"""),"Av, Colón 502, Mendoza , Argentina")</f>
        <v>Av, Colón 502, Mendoza , Argentina</v>
      </c>
      <c r="S176" t="str">
        <f>IFERROR(__xludf.DUMMYFUNCTION("""COMPUTED_VALUE"""),"Avenida Colón 502, Ciudad de Mendoza, Sección 2ª Barrio Cívico, Mendoza, AR")</f>
        <v>Avenida Colón 502, Ciudad de Mendoza, Sección 2ª Barrio Cívico, Mendoza, AR</v>
      </c>
    </row>
    <row r="177">
      <c r="A177" s="1">
        <v>1052.0</v>
      </c>
      <c r="B177" s="1" t="s">
        <v>62</v>
      </c>
      <c r="C177" s="1">
        <v>12.0</v>
      </c>
      <c r="D177" s="1" t="s">
        <v>4721</v>
      </c>
      <c r="E177" s="1" t="s">
        <v>2882</v>
      </c>
      <c r="F177" s="1" t="s">
        <v>2978</v>
      </c>
      <c r="G177" s="1" t="s">
        <v>4722</v>
      </c>
      <c r="H177" s="1" t="s">
        <v>4722</v>
      </c>
      <c r="I177" s="1" t="s">
        <v>21</v>
      </c>
      <c r="J177" s="1" t="s">
        <v>4723</v>
      </c>
      <c r="K177">
        <v>-68.845681</v>
      </c>
      <c r="L177">
        <v>-32.894025</v>
      </c>
      <c r="O177" s="1" t="s">
        <v>4724</v>
      </c>
      <c r="P177">
        <f t="shared" si="1"/>
        <v>-32.894025</v>
      </c>
      <c r="Q177">
        <f>IFERROR(__xludf.DUMMYFUNCTION("""COMPUTED_VALUE"""),-68.845681)</f>
        <v>-68.845681</v>
      </c>
      <c r="R177" t="str">
        <f>IFERROR(__xludf.DUMMYFUNCTION("""COMPUTED_VALUE"""),"Av, Colón 490, Mendoza , Argentina")</f>
        <v>Av, Colón 490, Mendoza , Argentina</v>
      </c>
      <c r="S177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8">
      <c r="A178" s="1">
        <v>1059.0</v>
      </c>
      <c r="B178" s="1" t="s">
        <v>62</v>
      </c>
      <c r="C178" s="1">
        <v>12.0</v>
      </c>
      <c r="D178" s="1" t="s">
        <v>3624</v>
      </c>
      <c r="E178" s="1" t="s">
        <v>2882</v>
      </c>
      <c r="F178" s="1" t="s">
        <v>2978</v>
      </c>
      <c r="G178" s="1" t="s">
        <v>3626</v>
      </c>
      <c r="H178" s="1" t="s">
        <v>3626</v>
      </c>
      <c r="I178" s="1" t="s">
        <v>21</v>
      </c>
      <c r="J178" s="1" t="s">
        <v>4726</v>
      </c>
      <c r="K178">
        <v>-68.845681</v>
      </c>
      <c r="L178">
        <v>-32.894025</v>
      </c>
      <c r="O178" s="1" t="s">
        <v>4727</v>
      </c>
      <c r="P178">
        <f t="shared" si="1"/>
        <v>-32.894025</v>
      </c>
      <c r="Q178">
        <f>IFERROR(__xludf.DUMMYFUNCTION("""COMPUTED_VALUE"""),-68.845681)</f>
        <v>-68.845681</v>
      </c>
      <c r="R178" t="str">
        <f>IFERROR(__xludf.DUMMYFUNCTION("""COMPUTED_VALUE"""),"Av, Colón 462, Mendoza , Argentina")</f>
        <v>Av, Colón 462, Mendoza , Argentina</v>
      </c>
      <c r="S17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79">
      <c r="A179" s="1">
        <v>1061.0</v>
      </c>
      <c r="B179" s="1" t="s">
        <v>62</v>
      </c>
      <c r="C179" s="1">
        <v>12.0</v>
      </c>
      <c r="D179" s="1" t="s">
        <v>4729</v>
      </c>
      <c r="E179" s="1" t="s">
        <v>2882</v>
      </c>
      <c r="F179" s="1" t="s">
        <v>2978</v>
      </c>
      <c r="G179" s="1" t="s">
        <v>4730</v>
      </c>
      <c r="H179" s="1" t="s">
        <v>4730</v>
      </c>
      <c r="I179" s="1" t="s">
        <v>21</v>
      </c>
      <c r="J179" s="1" t="s">
        <v>4731</v>
      </c>
      <c r="K179">
        <v>-68.845681</v>
      </c>
      <c r="L179">
        <v>-32.894025</v>
      </c>
      <c r="O179" s="1" t="s">
        <v>4732</v>
      </c>
      <c r="P179">
        <f t="shared" si="1"/>
        <v>-32.894025</v>
      </c>
      <c r="Q179">
        <f>IFERROR(__xludf.DUMMYFUNCTION("""COMPUTED_VALUE"""),-68.845681)</f>
        <v>-68.845681</v>
      </c>
      <c r="R179" t="str">
        <f>IFERROR(__xludf.DUMMYFUNCTION("""COMPUTED_VALUE"""),"Av, Colón 450, Mendoza , Argentina")</f>
        <v>Av, Colón 450, Mendoza , Argentina</v>
      </c>
      <c r="S179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0">
      <c r="A180" s="1">
        <v>1062.0</v>
      </c>
      <c r="B180" s="1" t="s">
        <v>62</v>
      </c>
      <c r="C180" s="1">
        <v>12.0</v>
      </c>
      <c r="D180" s="1" t="s">
        <v>4735</v>
      </c>
      <c r="E180" s="1" t="s">
        <v>2882</v>
      </c>
      <c r="F180" s="1" t="s">
        <v>2978</v>
      </c>
      <c r="G180" s="1" t="s">
        <v>4736</v>
      </c>
      <c r="H180" s="1" t="s">
        <v>4737</v>
      </c>
      <c r="I180" s="1" t="s">
        <v>21</v>
      </c>
      <c r="J180" s="1" t="s">
        <v>4738</v>
      </c>
      <c r="K180">
        <v>-68.845681</v>
      </c>
      <c r="L180">
        <v>-32.894025</v>
      </c>
      <c r="O180" s="1" t="s">
        <v>4739</v>
      </c>
      <c r="P180">
        <f t="shared" si="1"/>
        <v>-32.894025</v>
      </c>
      <c r="Q180">
        <f>IFERROR(__xludf.DUMMYFUNCTION("""COMPUTED_VALUE"""),-68.845681)</f>
        <v>-68.845681</v>
      </c>
      <c r="R180" t="str">
        <f>IFERROR(__xludf.DUMMYFUNCTION("""COMPUTED_VALUE"""),"Av, Colón 452, Mendoza , Argentina")</f>
        <v>Av, Colón 452, Mendoza , Argentina</v>
      </c>
      <c r="S180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1">
      <c r="A181" s="1">
        <v>1063.0</v>
      </c>
      <c r="B181" s="1" t="s">
        <v>62</v>
      </c>
      <c r="C181" s="1">
        <v>12.0</v>
      </c>
      <c r="D181" s="1" t="s">
        <v>3533</v>
      </c>
      <c r="E181" s="1" t="s">
        <v>2882</v>
      </c>
      <c r="F181" s="1" t="s">
        <v>2978</v>
      </c>
      <c r="G181" s="1" t="s">
        <v>3430</v>
      </c>
      <c r="H181" s="1" t="s">
        <v>4740</v>
      </c>
      <c r="I181" s="1" t="s">
        <v>21</v>
      </c>
      <c r="J181" s="1" t="s">
        <v>3432</v>
      </c>
      <c r="K181">
        <v>-68.845681</v>
      </c>
      <c r="L181">
        <v>-32.894025</v>
      </c>
      <c r="O181" s="1" t="s">
        <v>4742</v>
      </c>
      <c r="P181">
        <f t="shared" si="1"/>
        <v>-32.894025</v>
      </c>
      <c r="Q181">
        <f>IFERROR(__xludf.DUMMYFUNCTION("""COMPUTED_VALUE"""),-68.845681)</f>
        <v>-68.845681</v>
      </c>
      <c r="R181" t="str">
        <f>IFERROR(__xludf.DUMMYFUNCTION("""COMPUTED_VALUE"""),"Av, Colón 430, Mendoza , Argentina")</f>
        <v>Av, Colón 430, Mendoza , Argentina</v>
      </c>
      <c r="S181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2">
      <c r="A182" s="1">
        <v>1065.0</v>
      </c>
      <c r="B182" s="1" t="s">
        <v>62</v>
      </c>
      <c r="C182" s="1">
        <v>12.0</v>
      </c>
      <c r="D182" s="1" t="s">
        <v>2106</v>
      </c>
      <c r="E182" s="1" t="s">
        <v>2882</v>
      </c>
      <c r="F182" s="1" t="s">
        <v>2978</v>
      </c>
      <c r="G182" s="1" t="s">
        <v>3430</v>
      </c>
      <c r="H182" s="1" t="s">
        <v>2108</v>
      </c>
      <c r="I182" s="1" t="s">
        <v>21</v>
      </c>
      <c r="J182" s="1" t="s">
        <v>3432</v>
      </c>
      <c r="K182">
        <v>-68.845681</v>
      </c>
      <c r="L182">
        <v>-32.894025</v>
      </c>
      <c r="O182" s="1" t="s">
        <v>4742</v>
      </c>
      <c r="P182">
        <f t="shared" si="1"/>
        <v>-32.894025</v>
      </c>
      <c r="Q182">
        <f>IFERROR(__xludf.DUMMYFUNCTION("""COMPUTED_VALUE"""),-68.845681)</f>
        <v>-68.845681</v>
      </c>
      <c r="R182" t="str">
        <f>IFERROR(__xludf.DUMMYFUNCTION("""COMPUTED_VALUE"""),"Av, Colón 430, Mendoza , Argentina")</f>
        <v>Av, Colón 430, Mendoza , Argentina</v>
      </c>
      <c r="S182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3">
      <c r="A183" s="1">
        <v>1066.0</v>
      </c>
      <c r="B183" s="1" t="s">
        <v>62</v>
      </c>
      <c r="C183" s="1">
        <v>12.0</v>
      </c>
      <c r="D183" s="1" t="s">
        <v>4749</v>
      </c>
      <c r="E183" s="1" t="s">
        <v>2882</v>
      </c>
      <c r="F183" s="1" t="s">
        <v>2978</v>
      </c>
      <c r="G183" s="1" t="s">
        <v>4750</v>
      </c>
      <c r="H183" s="1" t="s">
        <v>4750</v>
      </c>
      <c r="I183" s="1" t="s">
        <v>21</v>
      </c>
      <c r="J183" s="1" t="s">
        <v>4752</v>
      </c>
      <c r="K183">
        <v>-68.845681</v>
      </c>
      <c r="L183">
        <v>-32.894025</v>
      </c>
      <c r="O183" s="1" t="s">
        <v>4753</v>
      </c>
      <c r="P183">
        <f t="shared" si="1"/>
        <v>-32.894025</v>
      </c>
      <c r="Q183">
        <f>IFERROR(__xludf.DUMMYFUNCTION("""COMPUTED_VALUE"""),-68.845681)</f>
        <v>-68.845681</v>
      </c>
      <c r="R183" t="str">
        <f>IFERROR(__xludf.DUMMYFUNCTION("""COMPUTED_VALUE"""),"Av, Colón 424, Mendoza , Argentina")</f>
        <v>Av, Colón 424, Mendoza , Argentina</v>
      </c>
      <c r="S183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4">
      <c r="A184" s="1">
        <v>1067.0</v>
      </c>
      <c r="B184" s="1" t="s">
        <v>62</v>
      </c>
      <c r="C184" s="1">
        <v>12.0</v>
      </c>
      <c r="D184" s="1" t="s">
        <v>4543</v>
      </c>
      <c r="E184" s="1" t="s">
        <v>2882</v>
      </c>
      <c r="F184" s="1" t="s">
        <v>2978</v>
      </c>
      <c r="G184" s="1" t="s">
        <v>4547</v>
      </c>
      <c r="H184" s="1" t="s">
        <v>4547</v>
      </c>
      <c r="I184" s="1" t="s">
        <v>21</v>
      </c>
      <c r="J184" s="1" t="s">
        <v>4754</v>
      </c>
      <c r="K184">
        <v>-68.845681</v>
      </c>
      <c r="L184">
        <v>-32.894025</v>
      </c>
      <c r="O184" s="1" t="s">
        <v>4755</v>
      </c>
      <c r="P184">
        <f t="shared" si="1"/>
        <v>-32.894025</v>
      </c>
      <c r="Q184">
        <f>IFERROR(__xludf.DUMMYFUNCTION("""COMPUTED_VALUE"""),-68.845681)</f>
        <v>-68.845681</v>
      </c>
      <c r="R184" t="str">
        <f>IFERROR(__xludf.DUMMYFUNCTION("""COMPUTED_VALUE"""),"Av, Colón 418, Mendoza , Argentina")</f>
        <v>Av, Colón 418, Mendoza , Argentina</v>
      </c>
      <c r="S184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5">
      <c r="A185" s="1">
        <v>1069.0</v>
      </c>
      <c r="B185" s="1" t="s">
        <v>62</v>
      </c>
      <c r="C185" s="1">
        <v>12.0</v>
      </c>
      <c r="D185" s="1" t="s">
        <v>4760</v>
      </c>
      <c r="E185" s="1" t="s">
        <v>2882</v>
      </c>
      <c r="F185" s="1" t="s">
        <v>2978</v>
      </c>
      <c r="G185" s="1" t="s">
        <v>4761</v>
      </c>
      <c r="H185" s="1" t="s">
        <v>4761</v>
      </c>
      <c r="I185" s="1" t="s">
        <v>21</v>
      </c>
      <c r="J185" s="1" t="s">
        <v>4762</v>
      </c>
      <c r="K185">
        <v>-68.845681</v>
      </c>
      <c r="L185">
        <v>-32.894025</v>
      </c>
      <c r="O185" s="1" t="s">
        <v>4763</v>
      </c>
      <c r="P185">
        <f t="shared" si="1"/>
        <v>-32.894025</v>
      </c>
      <c r="Q185">
        <f>IFERROR(__xludf.DUMMYFUNCTION("""COMPUTED_VALUE"""),-68.845681)</f>
        <v>-68.845681</v>
      </c>
      <c r="R185" t="str">
        <f>IFERROR(__xludf.DUMMYFUNCTION("""COMPUTED_VALUE"""),"Av, Colón 368, Mendoza , Argentina")</f>
        <v>Av, Colón 368, Mendoza , Argentina</v>
      </c>
      <c r="S185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6">
      <c r="A186" s="1">
        <v>1072.0</v>
      </c>
      <c r="B186" s="1" t="s">
        <v>62</v>
      </c>
      <c r="C186" s="1">
        <v>12.0</v>
      </c>
      <c r="D186" s="1" t="s">
        <v>4735</v>
      </c>
      <c r="E186" s="1" t="s">
        <v>2882</v>
      </c>
      <c r="F186" s="1" t="s">
        <v>2978</v>
      </c>
      <c r="G186" s="1" t="s">
        <v>4736</v>
      </c>
      <c r="H186" s="1" t="s">
        <v>4736</v>
      </c>
      <c r="I186" s="1" t="s">
        <v>21</v>
      </c>
      <c r="J186" s="1" t="s">
        <v>4738</v>
      </c>
      <c r="K186">
        <v>-68.845681</v>
      </c>
      <c r="L186">
        <v>-32.894025</v>
      </c>
      <c r="O186" s="1" t="s">
        <v>4739</v>
      </c>
      <c r="P186">
        <f t="shared" si="1"/>
        <v>-32.894025</v>
      </c>
      <c r="Q186">
        <f>IFERROR(__xludf.DUMMYFUNCTION("""COMPUTED_VALUE"""),-68.845681)</f>
        <v>-68.845681</v>
      </c>
      <c r="R186" t="str">
        <f>IFERROR(__xludf.DUMMYFUNCTION("""COMPUTED_VALUE"""),"Av, Colón 452, Mendoza , Argentina")</f>
        <v>Av, Colón 452, Mendoza , Argentina</v>
      </c>
      <c r="S186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7">
      <c r="A187" s="1">
        <v>1087.0</v>
      </c>
      <c r="B187" s="1" t="s">
        <v>62</v>
      </c>
      <c r="C187" s="1">
        <v>14.0</v>
      </c>
      <c r="D187" s="1" t="s">
        <v>4228</v>
      </c>
      <c r="E187" s="1" t="s">
        <v>2882</v>
      </c>
      <c r="F187" s="1" t="s">
        <v>2978</v>
      </c>
      <c r="G187" s="1" t="s">
        <v>4772</v>
      </c>
      <c r="H187" s="1" t="s">
        <v>4772</v>
      </c>
      <c r="I187" s="1" t="s">
        <v>21</v>
      </c>
      <c r="J187" s="1" t="s">
        <v>4773</v>
      </c>
      <c r="K187">
        <v>-68.845681</v>
      </c>
      <c r="L187">
        <v>-32.894025</v>
      </c>
      <c r="O187" s="1" t="s">
        <v>4774</v>
      </c>
      <c r="P187">
        <f t="shared" si="1"/>
        <v>-32.894025</v>
      </c>
      <c r="Q187">
        <f>IFERROR(__xludf.DUMMYFUNCTION("""COMPUTED_VALUE"""),-68.845681)</f>
        <v>-68.845681</v>
      </c>
      <c r="R187" t="str">
        <f>IFERROR(__xludf.DUMMYFUNCTION("""COMPUTED_VALUE"""),"Av, Colón 298, Mendoza , Argentina")</f>
        <v>Av, Colón 298, Mendoza , Argentina</v>
      </c>
      <c r="S187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8">
      <c r="A188" s="1">
        <v>1090.0</v>
      </c>
      <c r="B188" s="1" t="s">
        <v>62</v>
      </c>
      <c r="C188" s="1">
        <v>14.0</v>
      </c>
      <c r="D188" s="1" t="s">
        <v>4779</v>
      </c>
      <c r="E188" s="1" t="s">
        <v>2882</v>
      </c>
      <c r="F188" s="1" t="s">
        <v>2978</v>
      </c>
      <c r="G188" s="1" t="s">
        <v>4780</v>
      </c>
      <c r="H188" s="1" t="s">
        <v>4780</v>
      </c>
      <c r="I188" s="1" t="s">
        <v>21</v>
      </c>
      <c r="J188" s="1" t="s">
        <v>4781</v>
      </c>
      <c r="K188">
        <v>-68.845681</v>
      </c>
      <c r="L188">
        <v>-32.894025</v>
      </c>
      <c r="O188" s="1" t="s">
        <v>4782</v>
      </c>
      <c r="P188">
        <f t="shared" si="1"/>
        <v>-32.894025</v>
      </c>
      <c r="Q188">
        <f>IFERROR(__xludf.DUMMYFUNCTION("""COMPUTED_VALUE"""),-68.845681)</f>
        <v>-68.845681</v>
      </c>
      <c r="R188" t="str">
        <f>IFERROR(__xludf.DUMMYFUNCTION("""COMPUTED_VALUE"""),"Av, Colón 250, Mendoza , Argentina")</f>
        <v>Av, Colón 250, Mendoza , Argentina</v>
      </c>
      <c r="S18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89">
      <c r="A189" s="1">
        <v>1098.0</v>
      </c>
      <c r="B189" s="1" t="s">
        <v>62</v>
      </c>
      <c r="C189" s="1">
        <v>16.0</v>
      </c>
      <c r="D189" s="1" t="s">
        <v>2310</v>
      </c>
      <c r="E189" s="1" t="s">
        <v>2882</v>
      </c>
      <c r="F189" s="1" t="s">
        <v>2978</v>
      </c>
      <c r="G189" s="1" t="s">
        <v>4787</v>
      </c>
      <c r="H189" s="1" t="s">
        <v>4787</v>
      </c>
      <c r="I189" s="1" t="s">
        <v>21</v>
      </c>
      <c r="J189" s="1" t="s">
        <v>4788</v>
      </c>
      <c r="K189">
        <v>-68.845681</v>
      </c>
      <c r="L189">
        <v>-32.894025</v>
      </c>
      <c r="O189" s="1" t="s">
        <v>4789</v>
      </c>
      <c r="P189">
        <f t="shared" si="1"/>
        <v>-32.894025</v>
      </c>
      <c r="Q189">
        <f>IFERROR(__xludf.DUMMYFUNCTION("""COMPUTED_VALUE"""),-68.845681)</f>
        <v>-68.845681</v>
      </c>
      <c r="R189" t="str">
        <f>IFERROR(__xludf.DUMMYFUNCTION("""COMPUTED_VALUE"""),"Av, Colón 136, Mendoza , Argentina")</f>
        <v>Av, Colón 136, Mendoza , Argentina</v>
      </c>
      <c r="S189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190">
      <c r="A190" s="1">
        <v>1140.0</v>
      </c>
      <c r="B190" s="1" t="s">
        <v>120</v>
      </c>
      <c r="C190" s="1">
        <v>3.0</v>
      </c>
      <c r="D190" s="1" t="s">
        <v>4071</v>
      </c>
      <c r="E190" s="1" t="s">
        <v>2882</v>
      </c>
      <c r="F190" s="1" t="s">
        <v>2978</v>
      </c>
      <c r="G190" s="1" t="s">
        <v>4791</v>
      </c>
      <c r="H190" s="1" t="s">
        <v>4791</v>
      </c>
      <c r="I190" s="1" t="s">
        <v>21</v>
      </c>
      <c r="J190" s="1" t="s">
        <v>4793</v>
      </c>
      <c r="K190">
        <v>-68.84806</v>
      </c>
      <c r="L190">
        <v>-32.887937</v>
      </c>
      <c r="O190" s="1" t="s">
        <v>4795</v>
      </c>
      <c r="P190">
        <f t="shared" si="1"/>
        <v>-32.887937</v>
      </c>
      <c r="Q190">
        <f>IFERROR(__xludf.DUMMYFUNCTION("""COMPUTED_VALUE"""),-68.84806)</f>
        <v>-68.84806</v>
      </c>
      <c r="R190" t="str">
        <f>IFERROR(__xludf.DUMMYFUNCTION("""COMPUTED_VALUE"""),"Espejo 299, Mendoza , Argentina")</f>
        <v>Espejo 299, Mendoza , Argentina</v>
      </c>
      <c r="S190" t="str">
        <f>IFERROR(__xludf.DUMMYFUNCTION("""COMPUTED_VALUE"""),"Espejo, Ciudad de Mendoza, Sección 2ª Barrio Cívico, Mendoza, AR")</f>
        <v>Espejo, Ciudad de Mendoza, Sección 2ª Barrio Cívico, Mendoza, AR</v>
      </c>
    </row>
    <row r="191">
      <c r="A191" s="1">
        <v>1161.0</v>
      </c>
      <c r="B191" s="1" t="s">
        <v>120</v>
      </c>
      <c r="C191" s="1">
        <v>5.0</v>
      </c>
      <c r="D191" s="1" t="s">
        <v>4797</v>
      </c>
      <c r="E191" s="1" t="s">
        <v>2882</v>
      </c>
      <c r="F191" s="1" t="s">
        <v>2978</v>
      </c>
      <c r="G191" s="1" t="s">
        <v>4798</v>
      </c>
      <c r="H191" s="1" t="s">
        <v>4798</v>
      </c>
      <c r="I191" s="1" t="s">
        <v>21</v>
      </c>
      <c r="J191" s="1" t="s">
        <v>4800</v>
      </c>
      <c r="K191">
        <v>-68.844186</v>
      </c>
      <c r="L191">
        <v>-32.888641</v>
      </c>
      <c r="O191" s="1" t="s">
        <v>4802</v>
      </c>
      <c r="P191">
        <f t="shared" si="1"/>
        <v>-32.888641</v>
      </c>
      <c r="Q191">
        <f>IFERROR(__xludf.DUMMYFUNCTION("""COMPUTED_VALUE"""),-68.844186)</f>
        <v>-68.844186</v>
      </c>
      <c r="R191" t="str">
        <f>IFERROR(__xludf.DUMMYFUNCTION("""COMPUTED_VALUE"""),"Espejo 120, Mendoza , Argentina")</f>
        <v>Espejo 120, Mendoza , Argentina</v>
      </c>
      <c r="S191" t="str">
        <f>IFERROR(__xludf.DUMMYFUNCTION("""COMPUTED_VALUE"""),"Espejo, Ciudad de Mendoza, Sección 2ª Barrio Cívico, Mendoza, AR")</f>
        <v>Espejo, Ciudad de Mendoza, Sección 2ª Barrio Cívico, Mendoza, AR</v>
      </c>
    </row>
    <row r="192">
      <c r="A192" s="1">
        <v>1189.0</v>
      </c>
      <c r="B192" s="1" t="s">
        <v>227</v>
      </c>
      <c r="C192" s="1">
        <v>1.0</v>
      </c>
      <c r="D192" s="1" t="s">
        <v>4805</v>
      </c>
      <c r="E192" s="1" t="s">
        <v>2882</v>
      </c>
      <c r="F192" s="1" t="s">
        <v>2978</v>
      </c>
      <c r="G192" s="1" t="s">
        <v>4806</v>
      </c>
      <c r="H192" s="1" t="s">
        <v>4807</v>
      </c>
      <c r="I192" s="1" t="s">
        <v>21</v>
      </c>
      <c r="J192" s="1" t="s">
        <v>4808</v>
      </c>
      <c r="K192">
        <v>-67.688023</v>
      </c>
      <c r="L192">
        <v>-34.979176</v>
      </c>
      <c r="O192" s="1" t="s">
        <v>4809</v>
      </c>
      <c r="P192">
        <f t="shared" si="1"/>
        <v>-34.979176</v>
      </c>
      <c r="Q192">
        <f>IFERROR(__xludf.DUMMYFUNCTION("""COMPUTED_VALUE"""),-67.688023)</f>
        <v>-67.688023</v>
      </c>
      <c r="R192" t="str">
        <f>IFERROR(__xludf.DUMMYFUNCTION("""COMPUTED_VALUE"""),"Godoy Cruz 71, Mendoza , Argentina")</f>
        <v>Godoy Cruz 71, Mendoza , Argentina</v>
      </c>
      <c r="S192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93">
      <c r="A193" s="1">
        <v>1190.0</v>
      </c>
      <c r="B193" s="1" t="s">
        <v>227</v>
      </c>
      <c r="C193" s="1">
        <v>1.0</v>
      </c>
      <c r="D193" s="1" t="s">
        <v>4814</v>
      </c>
      <c r="E193" s="1" t="s">
        <v>2882</v>
      </c>
      <c r="F193" s="1" t="s">
        <v>2978</v>
      </c>
      <c r="G193" s="1" t="s">
        <v>4815</v>
      </c>
      <c r="H193" s="1" t="s">
        <v>4816</v>
      </c>
      <c r="I193" s="1" t="s">
        <v>21</v>
      </c>
      <c r="J193" s="1" t="s">
        <v>4817</v>
      </c>
      <c r="K193">
        <v>-67.688023</v>
      </c>
      <c r="L193">
        <v>-34.979176</v>
      </c>
      <c r="O193" s="1" t="s">
        <v>4818</v>
      </c>
      <c r="P193">
        <f t="shared" si="1"/>
        <v>-34.979176</v>
      </c>
      <c r="Q193">
        <f>IFERROR(__xludf.DUMMYFUNCTION("""COMPUTED_VALUE"""),-67.688023)</f>
        <v>-67.688023</v>
      </c>
      <c r="R193" t="str">
        <f>IFERROR(__xludf.DUMMYFUNCTION("""COMPUTED_VALUE"""),"Godoy Cruz 75, Mendoza , Argentina")</f>
        <v>Godoy Cruz 75, Mendoza , Argentina</v>
      </c>
      <c r="S193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94">
      <c r="A194" s="1">
        <v>1213.0</v>
      </c>
      <c r="B194" s="1" t="s">
        <v>227</v>
      </c>
      <c r="C194" s="1">
        <v>4.0</v>
      </c>
      <c r="D194" s="1" t="s">
        <v>4823</v>
      </c>
      <c r="E194" s="1" t="s">
        <v>2882</v>
      </c>
      <c r="F194" s="1" t="s">
        <v>2978</v>
      </c>
      <c r="G194" s="1" t="s">
        <v>4824</v>
      </c>
      <c r="H194" s="1" t="s">
        <v>4824</v>
      </c>
      <c r="I194" s="1" t="s">
        <v>21</v>
      </c>
      <c r="J194" s="1" t="s">
        <v>4825</v>
      </c>
      <c r="K194">
        <v>-67.688023</v>
      </c>
      <c r="L194">
        <v>-34.979176</v>
      </c>
      <c r="O194" s="1" t="s">
        <v>4826</v>
      </c>
      <c r="P194">
        <f t="shared" si="1"/>
        <v>-34.979176</v>
      </c>
      <c r="Q194">
        <f>IFERROR(__xludf.DUMMYFUNCTION("""COMPUTED_VALUE"""),-67.688023)</f>
        <v>-67.688023</v>
      </c>
      <c r="R194" t="str">
        <f>IFERROR(__xludf.DUMMYFUNCTION("""COMPUTED_VALUE"""),"Godoy Cruz 387, Mendoza , Argentina")</f>
        <v>Godoy Cruz 387, Mendoza , Argentina</v>
      </c>
      <c r="S194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95">
      <c r="A195" s="1">
        <v>1249.0</v>
      </c>
      <c r="B195" s="1" t="s">
        <v>227</v>
      </c>
      <c r="C195" s="1">
        <v>10.0</v>
      </c>
      <c r="D195" s="1" t="s">
        <v>4228</v>
      </c>
      <c r="E195" s="1" t="s">
        <v>2882</v>
      </c>
      <c r="F195" s="1" t="s">
        <v>2978</v>
      </c>
      <c r="G195" s="1" t="s">
        <v>4230</v>
      </c>
      <c r="H195" s="1" t="s">
        <v>4230</v>
      </c>
      <c r="I195" s="1" t="s">
        <v>21</v>
      </c>
      <c r="J195" s="1" t="s">
        <v>4232</v>
      </c>
      <c r="K195">
        <v>-67.688023</v>
      </c>
      <c r="L195">
        <v>-34.979176</v>
      </c>
      <c r="O195" s="1" t="s">
        <v>4233</v>
      </c>
      <c r="P195">
        <f t="shared" si="1"/>
        <v>-34.979176</v>
      </c>
      <c r="Q195">
        <f>IFERROR(__xludf.DUMMYFUNCTION("""COMPUTED_VALUE"""),-67.688023)</f>
        <v>-67.688023</v>
      </c>
      <c r="R195" t="str">
        <f>IFERROR(__xludf.DUMMYFUNCTION("""COMPUTED_VALUE"""),"Godoy Cruz 12, Mendoza , Argentina")</f>
        <v>Godoy Cruz 12, Mendoza , Argentina</v>
      </c>
      <c r="S195" t="str">
        <f>IFERROR(__xludf.DUMMYFUNCTION("""COMPUTED_VALUE"""),"Godoy Cruz, General Alvear, Distrito Ciudad de General Alvear, Mendoza, AR")</f>
        <v>Godoy Cruz, General Alvear, Distrito Ciudad de General Alvear, Mendoza, AR</v>
      </c>
    </row>
    <row r="196">
      <c r="A196" s="1">
        <v>1343.0</v>
      </c>
      <c r="B196" s="1" t="s">
        <v>248</v>
      </c>
      <c r="C196" s="1">
        <v>15.0</v>
      </c>
      <c r="D196" s="1" t="s">
        <v>4831</v>
      </c>
      <c r="E196" s="1" t="s">
        <v>2882</v>
      </c>
      <c r="F196" s="1" t="s">
        <v>2978</v>
      </c>
      <c r="G196" s="1" t="s">
        <v>4586</v>
      </c>
      <c r="H196" s="1" t="s">
        <v>4586</v>
      </c>
      <c r="I196" s="1" t="s">
        <v>21</v>
      </c>
      <c r="J196" s="1" t="s">
        <v>4587</v>
      </c>
      <c r="K196">
        <v>-68.840748</v>
      </c>
      <c r="L196">
        <v>-32.885853</v>
      </c>
      <c r="O196" s="1" t="s">
        <v>4588</v>
      </c>
      <c r="P196">
        <f t="shared" si="1"/>
        <v>-32.885853</v>
      </c>
      <c r="Q196">
        <f>IFERROR(__xludf.DUMMYFUNCTION("""COMPUTED_VALUE"""),-68.840748)</f>
        <v>-68.840748</v>
      </c>
      <c r="R196" t="str">
        <f>IFERROR(__xludf.DUMMYFUNCTION("""COMPUTED_VALUE"""),"Av, Las Heras 199, Mendoza , Argentina")</f>
        <v>Av, Las Heras 199, Mendoza , Argentina</v>
      </c>
      <c r="S196" t="str">
        <f>IFERROR(__xludf.DUMMYFUNCTION("""COMPUTED_VALUE"""),"Avenida Las Heras 199, Ciudad de Mendoza, Sección 1ª Parque Central, Mendoza, AR")</f>
        <v>Avenida Las Heras 199, Ciudad de Mendoza, Sección 1ª Parque Central, Mendoza, AR</v>
      </c>
    </row>
    <row r="197">
      <c r="A197" s="1">
        <v>1269.0</v>
      </c>
      <c r="B197" s="1" t="s">
        <v>248</v>
      </c>
      <c r="C197" s="1">
        <v>3.0</v>
      </c>
      <c r="D197" s="1" t="s">
        <v>4836</v>
      </c>
      <c r="E197" s="1" t="s">
        <v>2882</v>
      </c>
      <c r="F197" s="1" t="s">
        <v>2978</v>
      </c>
      <c r="G197" s="1" t="s">
        <v>4837</v>
      </c>
      <c r="H197" s="1" t="s">
        <v>4837</v>
      </c>
      <c r="I197" s="1" t="s">
        <v>21</v>
      </c>
      <c r="J197" s="1" t="s">
        <v>4838</v>
      </c>
      <c r="K197">
        <v>-67.683115</v>
      </c>
      <c r="L197">
        <v>-34.974904</v>
      </c>
      <c r="O197" s="1" t="s">
        <v>4839</v>
      </c>
      <c r="P197">
        <f t="shared" si="1"/>
        <v>-34.974904</v>
      </c>
      <c r="Q197">
        <f>IFERROR(__xludf.DUMMYFUNCTION("""COMPUTED_VALUE"""),-67.683115)</f>
        <v>-67.683115</v>
      </c>
      <c r="R197" t="str">
        <f>IFERROR(__xludf.DUMMYFUNCTION("""COMPUTED_VALUE"""),"España 1492, Mendoza , Argentina")</f>
        <v>España 1492, Mendoza , Argentina</v>
      </c>
      <c r="S197" t="str">
        <f>IFERROR(__xludf.DUMMYFUNCTION("""COMPUTED_VALUE"""),"España, General Alvear, Distrito Ciudad de General Alvear, Mendoza, AR")</f>
        <v>España, General Alvear, Distrito Ciudad de General Alvear, Mendoza, AR</v>
      </c>
    </row>
    <row r="198">
      <c r="A198" s="1">
        <v>1281.0</v>
      </c>
      <c r="B198" s="1" t="s">
        <v>248</v>
      </c>
      <c r="C198" s="1">
        <v>7.0</v>
      </c>
      <c r="D198" s="1" t="s">
        <v>4840</v>
      </c>
      <c r="E198" s="1" t="s">
        <v>2882</v>
      </c>
      <c r="F198" s="1" t="s">
        <v>2978</v>
      </c>
      <c r="G198" s="1" t="s">
        <v>4841</v>
      </c>
      <c r="H198" s="1" t="s">
        <v>4842</v>
      </c>
      <c r="I198" s="1" t="s">
        <v>21</v>
      </c>
      <c r="J198" s="1" t="s">
        <v>4843</v>
      </c>
      <c r="K198">
        <v>-67.683115</v>
      </c>
      <c r="L198">
        <v>-34.974904</v>
      </c>
      <c r="O198" s="1" t="s">
        <v>4844</v>
      </c>
      <c r="P198">
        <f t="shared" si="1"/>
        <v>-34.974904</v>
      </c>
      <c r="Q198">
        <f>IFERROR(__xludf.DUMMYFUNCTION("""COMPUTED_VALUE"""),-67.683115)</f>
        <v>-67.683115</v>
      </c>
      <c r="R198" t="str">
        <f>IFERROR(__xludf.DUMMYFUNCTION("""COMPUTED_VALUE"""),"España 1068, Mendoza , Argentina")</f>
        <v>España 1068, Mendoza , Argentina</v>
      </c>
      <c r="S198" t="str">
        <f>IFERROR(__xludf.DUMMYFUNCTION("""COMPUTED_VALUE"""),"España, General Alvear, Distrito Ciudad de General Alvear, Mendoza, AR")</f>
        <v>España, General Alvear, Distrito Ciudad de General Alvear, Mendoza, AR</v>
      </c>
    </row>
    <row r="199">
      <c r="A199" s="1">
        <v>1286.0</v>
      </c>
      <c r="B199" s="1" t="s">
        <v>248</v>
      </c>
      <c r="C199" s="1">
        <v>7.0</v>
      </c>
      <c r="D199" s="1" t="s">
        <v>4845</v>
      </c>
      <c r="E199" s="1" t="s">
        <v>2882</v>
      </c>
      <c r="F199" s="1" t="s">
        <v>2978</v>
      </c>
      <c r="G199" s="1" t="s">
        <v>4846</v>
      </c>
      <c r="H199" s="1" t="s">
        <v>4847</v>
      </c>
      <c r="I199" s="1" t="s">
        <v>21</v>
      </c>
      <c r="J199" s="1" t="s">
        <v>4848</v>
      </c>
      <c r="K199">
        <v>-67.683115</v>
      </c>
      <c r="L199">
        <v>-34.974904</v>
      </c>
      <c r="O199" s="1" t="s">
        <v>4849</v>
      </c>
      <c r="P199">
        <f t="shared" si="1"/>
        <v>-34.974904</v>
      </c>
      <c r="Q199">
        <f>IFERROR(__xludf.DUMMYFUNCTION("""COMPUTED_VALUE"""),-67.683115)</f>
        <v>-67.683115</v>
      </c>
      <c r="R199" t="str">
        <f>IFERROR(__xludf.DUMMYFUNCTION("""COMPUTED_VALUE"""),"España 1076, Mendoza , Argentina")</f>
        <v>España 1076, Mendoza , Argentina</v>
      </c>
      <c r="S199" t="str">
        <f>IFERROR(__xludf.DUMMYFUNCTION("""COMPUTED_VALUE"""),"España, General Alvear, Distrito Ciudad de General Alvear, Mendoza, AR")</f>
        <v>España, General Alvear, Distrito Ciudad de General Alvear, Mendoza, AR</v>
      </c>
    </row>
    <row r="200">
      <c r="A200" s="1">
        <v>1314.0</v>
      </c>
      <c r="B200" s="1" t="s">
        <v>248</v>
      </c>
      <c r="C200" s="1">
        <v>11.0</v>
      </c>
      <c r="D200" s="1" t="s">
        <v>2240</v>
      </c>
      <c r="E200" s="1" t="s">
        <v>2882</v>
      </c>
      <c r="F200" s="1" t="s">
        <v>2978</v>
      </c>
      <c r="G200" s="1" t="s">
        <v>1156</v>
      </c>
      <c r="H200" s="1" t="s">
        <v>1156</v>
      </c>
      <c r="I200" s="1" t="s">
        <v>21</v>
      </c>
      <c r="J200" s="1" t="s">
        <v>4850</v>
      </c>
      <c r="K200">
        <v>-67.683115</v>
      </c>
      <c r="L200">
        <v>-34.974904</v>
      </c>
      <c r="O200" s="1" t="s">
        <v>4851</v>
      </c>
      <c r="P200">
        <f t="shared" si="1"/>
        <v>-34.974904</v>
      </c>
      <c r="Q200">
        <f>IFERROR(__xludf.DUMMYFUNCTION("""COMPUTED_VALUE"""),-67.683115)</f>
        <v>-67.683115</v>
      </c>
      <c r="R200" t="str">
        <f>IFERROR(__xludf.DUMMYFUNCTION("""COMPUTED_VALUE"""),"España 1159, Mendoza , Argentina")</f>
        <v>España 1159, Mendoza , Argentina</v>
      </c>
      <c r="S200" t="str">
        <f>IFERROR(__xludf.DUMMYFUNCTION("""COMPUTED_VALUE"""),"España, General Alvear, Distrito Ciudad de General Alvear, Mendoza, AR")</f>
        <v>España, General Alvear, Distrito Ciudad de General Alvear, Mendoza, AR</v>
      </c>
    </row>
    <row r="201">
      <c r="A201" s="1">
        <v>1319.0</v>
      </c>
      <c r="B201" s="1" t="s">
        <v>248</v>
      </c>
      <c r="C201" s="1">
        <v>11.0</v>
      </c>
      <c r="D201" s="1" t="s">
        <v>4852</v>
      </c>
      <c r="E201" s="1" t="s">
        <v>2882</v>
      </c>
      <c r="F201" s="1" t="s">
        <v>2978</v>
      </c>
      <c r="G201" s="1" t="s">
        <v>4853</v>
      </c>
      <c r="H201" s="1" t="s">
        <v>4853</v>
      </c>
      <c r="I201" s="1" t="s">
        <v>21</v>
      </c>
      <c r="J201" s="1" t="s">
        <v>4854</v>
      </c>
      <c r="K201">
        <v>-68.857841</v>
      </c>
      <c r="L201">
        <v>-32.926624</v>
      </c>
      <c r="O201" s="1" t="s">
        <v>4855</v>
      </c>
      <c r="P201">
        <f t="shared" si="1"/>
        <v>-32.926624</v>
      </c>
      <c r="Q201">
        <f>IFERROR(__xludf.DUMMYFUNCTION("""COMPUTED_VALUE"""),-68.857841)</f>
        <v>-68.857841</v>
      </c>
      <c r="R201" t="str">
        <f>IFERROR(__xludf.DUMMYFUNCTION("""COMPUTED_VALUE"""),"España y Espejo , Mendoza , Argentina")</f>
        <v>España y Espejo , Mendoza , Argentina</v>
      </c>
      <c r="S201" t="str">
        <f>IFERROR(__xludf.DUMMYFUNCTION("""COMPUTED_VALUE"""),"España, General Espejo, Departamento Godoy Cruz, Mendoza, AR")</f>
        <v>España, General Espejo, Departamento Godoy Cruz, Mendoza, AR</v>
      </c>
    </row>
    <row r="202">
      <c r="A202" s="1">
        <v>1321.0</v>
      </c>
      <c r="B202" s="1" t="s">
        <v>248</v>
      </c>
      <c r="C202" s="1">
        <v>12.0</v>
      </c>
      <c r="D202" s="1" t="s">
        <v>2155</v>
      </c>
      <c r="E202" s="1" t="s">
        <v>2882</v>
      </c>
      <c r="F202" s="1" t="s">
        <v>2978</v>
      </c>
      <c r="G202" s="1" t="s">
        <v>2157</v>
      </c>
      <c r="H202" s="1" t="s">
        <v>2157</v>
      </c>
      <c r="I202" s="1" t="s">
        <v>21</v>
      </c>
      <c r="J202" s="1" t="s">
        <v>4856</v>
      </c>
      <c r="K202">
        <v>-67.683115</v>
      </c>
      <c r="L202">
        <v>-34.974904</v>
      </c>
      <c r="O202" s="1" t="s">
        <v>4857</v>
      </c>
      <c r="P202">
        <f t="shared" si="1"/>
        <v>-34.974904</v>
      </c>
      <c r="Q202">
        <f>IFERROR(__xludf.DUMMYFUNCTION("""COMPUTED_VALUE"""),-67.683115)</f>
        <v>-67.683115</v>
      </c>
      <c r="R202" t="str">
        <f>IFERROR(__xludf.DUMMYFUNCTION("""COMPUTED_VALUE"""),"España 1241, Mendoza , Argentina")</f>
        <v>España 1241, Mendoza , Argentina</v>
      </c>
      <c r="S202" t="str">
        <f>IFERROR(__xludf.DUMMYFUNCTION("""COMPUTED_VALUE"""),"España, General Alvear, Distrito Ciudad de General Alvear, Mendoza, AR")</f>
        <v>España, General Alvear, Distrito Ciudad de General Alvear, Mendoza, AR</v>
      </c>
    </row>
    <row r="203">
      <c r="A203" s="1">
        <v>1326.0</v>
      </c>
      <c r="B203" s="1" t="s">
        <v>248</v>
      </c>
      <c r="C203" s="1">
        <v>14.0</v>
      </c>
      <c r="D203" s="1" t="s">
        <v>4858</v>
      </c>
      <c r="E203" s="1" t="s">
        <v>2882</v>
      </c>
      <c r="F203" s="1" t="s">
        <v>2978</v>
      </c>
      <c r="G203" s="1" t="s">
        <v>4859</v>
      </c>
      <c r="H203" s="1" t="s">
        <v>4859</v>
      </c>
      <c r="I203" s="1" t="s">
        <v>21</v>
      </c>
      <c r="J203" s="1" t="s">
        <v>4860</v>
      </c>
      <c r="K203">
        <v>-67.683115</v>
      </c>
      <c r="L203">
        <v>-34.974904</v>
      </c>
      <c r="O203" s="1" t="s">
        <v>4861</v>
      </c>
      <c r="P203">
        <f t="shared" si="1"/>
        <v>-34.974904</v>
      </c>
      <c r="Q203">
        <f>IFERROR(__xludf.DUMMYFUNCTION("""COMPUTED_VALUE"""),-67.683115)</f>
        <v>-67.683115</v>
      </c>
      <c r="R203" t="str">
        <f>IFERROR(__xludf.DUMMYFUNCTION("""COMPUTED_VALUE"""),"España 1475, Mendoza , Argentina")</f>
        <v>España 1475, Mendoza , Argentina</v>
      </c>
      <c r="S203" t="str">
        <f>IFERROR(__xludf.DUMMYFUNCTION("""COMPUTED_VALUE"""),"España, General Alvear, Distrito Ciudad de General Alvear, Mendoza, AR")</f>
        <v>España, General Alvear, Distrito Ciudad de General Alvear, Mendoza, AR</v>
      </c>
    </row>
    <row r="204">
      <c r="A204" s="1">
        <v>1333.0</v>
      </c>
      <c r="B204" s="1" t="s">
        <v>248</v>
      </c>
      <c r="C204" s="1">
        <v>15.0</v>
      </c>
      <c r="D204" s="1" t="s">
        <v>2976</v>
      </c>
      <c r="E204" s="1" t="s">
        <v>2882</v>
      </c>
      <c r="F204" s="1" t="s">
        <v>2978</v>
      </c>
      <c r="G204" s="1" t="s">
        <v>2471</v>
      </c>
      <c r="H204" s="1" t="s">
        <v>4862</v>
      </c>
      <c r="I204" s="1" t="s">
        <v>21</v>
      </c>
      <c r="J204" s="1" t="s">
        <v>2472</v>
      </c>
      <c r="K204">
        <v>-67.683115</v>
      </c>
      <c r="L204">
        <v>-34.974904</v>
      </c>
      <c r="O204" s="1" t="s">
        <v>4863</v>
      </c>
      <c r="P204">
        <f t="shared" si="1"/>
        <v>-34.974904</v>
      </c>
      <c r="Q204">
        <f>IFERROR(__xludf.DUMMYFUNCTION("""COMPUTED_VALUE"""),-67.683115)</f>
        <v>-67.683115</v>
      </c>
      <c r="R204" t="str">
        <f>IFERROR(__xludf.DUMMYFUNCTION("""COMPUTED_VALUE"""),"España 1551, Mendoza , Argentina")</f>
        <v>España 1551, Mendoza , Argentina</v>
      </c>
      <c r="S204" t="str">
        <f>IFERROR(__xludf.DUMMYFUNCTION("""COMPUTED_VALUE"""),"España, General Alvear, Distrito Ciudad de General Alvear, Mendoza, AR")</f>
        <v>España, General Alvear, Distrito Ciudad de General Alvear, Mendoza, AR</v>
      </c>
    </row>
    <row r="205">
      <c r="A205" s="1">
        <v>1370.0</v>
      </c>
      <c r="D205" s="1" t="s">
        <v>4864</v>
      </c>
      <c r="E205" s="1" t="s">
        <v>2882</v>
      </c>
      <c r="F205" s="1" t="s">
        <v>2978</v>
      </c>
      <c r="G205" s="1" t="s">
        <v>4865</v>
      </c>
      <c r="I205" s="1" t="s">
        <v>21</v>
      </c>
      <c r="J205" s="1" t="s">
        <v>4866</v>
      </c>
      <c r="K205">
        <v>-100.445882</v>
      </c>
      <c r="L205">
        <v>39.78373</v>
      </c>
      <c r="O205" s="1" t="s">
        <v>4867</v>
      </c>
      <c r="P205">
        <f t="shared" si="1"/>
        <v>39.78373</v>
      </c>
      <c r="Q205">
        <f>IFERROR(__xludf.DUMMYFUNCTION("""COMPUTED_VALUE"""),-100.445882)</f>
        <v>-100.445882</v>
      </c>
      <c r="R205" t="str">
        <f>IFERROR(__xludf.DUMMYFUNCTION("""COMPUTED_VALUE"""),"San Martín 1360 local 17, Mendoza , Argentina")</f>
        <v>San Martín 1360 local 17, Mendoza , Argentina</v>
      </c>
      <c r="S205" t="str">
        <f>IFERROR(__xludf.DUMMYFUNCTION("""COMPUTED_VALUE"""),"US")</f>
        <v>US</v>
      </c>
    </row>
    <row r="206">
      <c r="A206" s="1">
        <v>1379.0</v>
      </c>
      <c r="D206" s="1" t="s">
        <v>4868</v>
      </c>
      <c r="E206" s="1" t="s">
        <v>2882</v>
      </c>
      <c r="F206" s="1" t="s">
        <v>2978</v>
      </c>
      <c r="G206" s="1" t="s">
        <v>4869</v>
      </c>
      <c r="I206" s="1" t="s">
        <v>21</v>
      </c>
      <c r="J206" s="1" t="s">
        <v>4870</v>
      </c>
      <c r="K206">
        <v>-100.445882</v>
      </c>
      <c r="L206">
        <v>39.78373</v>
      </c>
      <c r="O206" s="1" t="s">
        <v>4871</v>
      </c>
      <c r="P206">
        <f t="shared" si="1"/>
        <v>39.78373</v>
      </c>
      <c r="Q206">
        <f>IFERROR(__xludf.DUMMYFUNCTION("""COMPUTED_VALUE"""),-100.445882)</f>
        <v>-100.445882</v>
      </c>
      <c r="R206" t="str">
        <f>IFERROR(__xludf.DUMMYFUNCTION("""COMPUTED_VALUE"""),"San Martín 1167 local s40, Mendoza , Argentina")</f>
        <v>San Martín 1167 local s40, Mendoza , Argentina</v>
      </c>
      <c r="S206" t="str">
        <f>IFERROR(__xludf.DUMMYFUNCTION("""COMPUTED_VALUE"""),"US")</f>
        <v>US</v>
      </c>
    </row>
    <row r="207">
      <c r="A207" s="1">
        <v>22.0</v>
      </c>
      <c r="B207" s="1" t="s">
        <v>12</v>
      </c>
      <c r="C207" s="1">
        <v>5.0</v>
      </c>
      <c r="D207" s="1" t="s">
        <v>4872</v>
      </c>
      <c r="E207" s="1" t="s">
        <v>2882</v>
      </c>
      <c r="F207" s="1" t="s">
        <v>4873</v>
      </c>
      <c r="G207" s="1" t="s">
        <v>4874</v>
      </c>
      <c r="H207" s="1" t="s">
        <v>4874</v>
      </c>
      <c r="I207" s="1" t="s">
        <v>21</v>
      </c>
      <c r="J207" s="1" t="s">
        <v>4875</v>
      </c>
      <c r="K207">
        <v>-68.850057</v>
      </c>
      <c r="L207">
        <v>-32.906464</v>
      </c>
      <c r="O207" s="1" t="s">
        <v>4876</v>
      </c>
      <c r="P207">
        <f t="shared" si="1"/>
        <v>-32.906464</v>
      </c>
      <c r="Q207">
        <f>IFERROR(__xludf.DUMMYFUNCTION("""COMPUTED_VALUE"""),-68.850057)</f>
        <v>-68.850057</v>
      </c>
      <c r="R207" t="str">
        <f>IFERROR(__xludf.DUMMYFUNCTION("""COMPUTED_VALUE"""),"Juan B, Justo 469, Mendoza , Argentina")</f>
        <v>Juan B, Justo 469, Mendoza , Argentina</v>
      </c>
      <c r="S207" t="str">
        <f>IFERROR(__xludf.DUMMYFUNCTION("""COMPUTED_VALUE"""),"Juan B, Justo 469, Villa Mercedes, Departamento Godoy Cruz, Mendoza, AR")</f>
        <v>Juan B, Justo 469, Villa Mercedes, Departamento Godoy Cruz, Mendoza, AR</v>
      </c>
    </row>
    <row r="208">
      <c r="A208" s="1">
        <v>34.0</v>
      </c>
      <c r="B208" s="1" t="s">
        <v>12</v>
      </c>
      <c r="C208" s="1">
        <v>8.0</v>
      </c>
      <c r="D208" s="1" t="s">
        <v>4877</v>
      </c>
      <c r="E208" s="1" t="s">
        <v>2882</v>
      </c>
      <c r="F208" s="1" t="s">
        <v>4873</v>
      </c>
      <c r="G208" s="1" t="s">
        <v>4878</v>
      </c>
      <c r="H208" s="1" t="s">
        <v>4878</v>
      </c>
      <c r="I208" s="1" t="s">
        <v>21</v>
      </c>
      <c r="J208" s="1" t="s">
        <v>4879</v>
      </c>
      <c r="K208">
        <v>-69.012587</v>
      </c>
      <c r="L208">
        <v>-33.571657</v>
      </c>
      <c r="O208" s="1" t="s">
        <v>4880</v>
      </c>
      <c r="P208">
        <f t="shared" si="1"/>
        <v>-33.571657</v>
      </c>
      <c r="Q208">
        <f>IFERROR(__xludf.DUMMYFUNCTION("""COMPUTED_VALUE"""),-69.012587)</f>
        <v>-69.012587</v>
      </c>
      <c r="R208" t="str">
        <f>IFERROR(__xludf.DUMMYFUNCTION("""COMPUTED_VALUE"""),"Juan B, Justo 701, Mendoza , Argentina")</f>
        <v>Juan B, Justo 701, Mendoza , Argentina</v>
      </c>
      <c r="S208" t="str">
        <f>IFERROR(__xludf.DUMMYFUNCTION("""COMPUTED_VALUE"""),"Juan B, Justo, Tunuyán, Distrito Ciudad de Tunuyán, Mendoza, AR")</f>
        <v>Juan B, Justo, Tunuyán, Distrito Ciudad de Tunuyán, Mendoza, AR</v>
      </c>
    </row>
    <row r="209">
      <c r="A209" s="1">
        <v>82.0</v>
      </c>
      <c r="B209" s="1" t="s">
        <v>12</v>
      </c>
      <c r="C209" s="1">
        <v>15.0</v>
      </c>
      <c r="D209" s="1" t="s">
        <v>4881</v>
      </c>
      <c r="E209" s="1" t="s">
        <v>2882</v>
      </c>
      <c r="F209" s="1" t="s">
        <v>4873</v>
      </c>
      <c r="G209" s="1" t="s">
        <v>4882</v>
      </c>
      <c r="H209" s="1" t="s">
        <v>4882</v>
      </c>
      <c r="I209" s="1" t="s">
        <v>21</v>
      </c>
      <c r="J209" s="1" t="s">
        <v>4883</v>
      </c>
      <c r="K209">
        <v>-68.846221</v>
      </c>
      <c r="L209">
        <v>-32.906987</v>
      </c>
      <c r="O209" s="1" t="s">
        <v>4884</v>
      </c>
      <c r="P209">
        <f t="shared" si="1"/>
        <v>-32.906987</v>
      </c>
      <c r="Q209">
        <f>IFERROR(__xludf.DUMMYFUNCTION("""COMPUTED_VALUE"""),-68.846221)</f>
        <v>-68.846221</v>
      </c>
      <c r="R209" t="str">
        <f>IFERROR(__xludf.DUMMYFUNCTION("""COMPUTED_VALUE"""),"Juan B, Justo 190, Mendoza , Argentina")</f>
        <v>Juan B, Justo 190, Mendoza , Argentina</v>
      </c>
      <c r="S209" t="str">
        <f>IFERROR(__xludf.DUMMYFUNCTION("""COMPUTED_VALUE"""),"Juan B, Justo 190, Villa Mercedes, Departamento Godoy Cruz, Mendoza, AR")</f>
        <v>Juan B, Justo 190, Villa Mercedes, Departamento Godoy Cruz, Mendoza, AR</v>
      </c>
    </row>
    <row r="210">
      <c r="A210" s="1">
        <v>83.0</v>
      </c>
      <c r="B210" s="1" t="s">
        <v>12</v>
      </c>
      <c r="C210" s="1">
        <v>16.0</v>
      </c>
      <c r="D210" s="1" t="s">
        <v>4885</v>
      </c>
      <c r="E210" s="1" t="s">
        <v>2882</v>
      </c>
      <c r="F210" s="1" t="s">
        <v>4873</v>
      </c>
      <c r="G210" s="1" t="s">
        <v>4886</v>
      </c>
      <c r="H210" s="1" t="s">
        <v>4886</v>
      </c>
      <c r="I210" s="1" t="s">
        <v>21</v>
      </c>
      <c r="J210" s="1" t="s">
        <v>4887</v>
      </c>
      <c r="K210">
        <v>-68.844146</v>
      </c>
      <c r="L210">
        <v>-32.907243</v>
      </c>
      <c r="O210" s="1" t="s">
        <v>4888</v>
      </c>
      <c r="P210">
        <f t="shared" si="1"/>
        <v>-32.907243</v>
      </c>
      <c r="Q210">
        <f>IFERROR(__xludf.DUMMYFUNCTION("""COMPUTED_VALUE"""),-68.844146)</f>
        <v>-68.844146</v>
      </c>
      <c r="R210" t="str">
        <f>IFERROR(__xludf.DUMMYFUNCTION("""COMPUTED_VALUE"""),"Juan B, Justo 20, Mendoza , Argentina")</f>
        <v>Juan B, Justo 20, Mendoza , Argentina</v>
      </c>
      <c r="S210" t="str">
        <f>IFERROR(__xludf.DUMMYFUNCTION("""COMPUTED_VALUE"""),"Juan B, Justo 20, Villa Mercedes, Departamento Godoy Cruz, Mendoza, AR")</f>
        <v>Juan B, Justo 20, Villa Mercedes, Departamento Godoy Cruz, Mendoza, AR</v>
      </c>
    </row>
    <row r="211">
      <c r="A211" s="1">
        <v>186.0</v>
      </c>
      <c r="B211" s="1" t="s">
        <v>29</v>
      </c>
      <c r="C211" s="1">
        <v>9.0</v>
      </c>
      <c r="D211" s="1" t="s">
        <v>4889</v>
      </c>
      <c r="E211" s="1" t="s">
        <v>2882</v>
      </c>
      <c r="F211" s="1" t="s">
        <v>4873</v>
      </c>
      <c r="G211" s="3" t="s">
        <v>4890</v>
      </c>
      <c r="H211" s="3" t="s">
        <v>4890</v>
      </c>
      <c r="I211" s="1" t="s">
        <v>21</v>
      </c>
      <c r="J211" s="1" t="s">
        <v>4891</v>
      </c>
      <c r="K211">
        <v>-67.68561</v>
      </c>
      <c r="L211">
        <v>-34.972739</v>
      </c>
      <c r="O211" s="1" t="s">
        <v>4892</v>
      </c>
      <c r="P211">
        <f t="shared" si="1"/>
        <v>-34.972739</v>
      </c>
      <c r="Q211">
        <f>IFERROR(__xludf.DUMMYFUNCTION("""COMPUTED_VALUE"""),-67.68561)</f>
        <v>-67.68561</v>
      </c>
      <c r="R211" t="str">
        <f>IFERROR(__xludf.DUMMYFUNCTION("""COMPUTED_VALUE"""),"9 de Julio 987, Mendoza , Argentina")</f>
        <v>9 de Julio 987, Mendoza , Argentina</v>
      </c>
      <c r="S211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12">
      <c r="A212" s="1">
        <v>191.0</v>
      </c>
      <c r="B212" s="1" t="s">
        <v>29</v>
      </c>
      <c r="C212" s="1">
        <v>10.0</v>
      </c>
      <c r="D212" s="1" t="s">
        <v>4893</v>
      </c>
      <c r="E212" s="1" t="s">
        <v>2882</v>
      </c>
      <c r="F212" s="1" t="s">
        <v>4873</v>
      </c>
      <c r="G212" s="3" t="s">
        <v>4894</v>
      </c>
      <c r="H212" s="3" t="s">
        <v>4894</v>
      </c>
      <c r="I212" s="1" t="s">
        <v>21</v>
      </c>
      <c r="J212" s="1" t="s">
        <v>4895</v>
      </c>
      <c r="K212">
        <v>-67.68561</v>
      </c>
      <c r="L212">
        <v>-34.972739</v>
      </c>
      <c r="O212" s="1" t="s">
        <v>4896</v>
      </c>
      <c r="P212">
        <f t="shared" si="1"/>
        <v>-34.972739</v>
      </c>
      <c r="Q212">
        <f>IFERROR(__xludf.DUMMYFUNCTION("""COMPUTED_VALUE"""),-67.68561)</f>
        <v>-67.68561</v>
      </c>
      <c r="R212" t="str">
        <f>IFERROR(__xludf.DUMMYFUNCTION("""COMPUTED_VALUE"""),"9 de Julio 1023, Mendoza , Argentina")</f>
        <v>9 de Julio 1023, Mendoza , Argentina</v>
      </c>
      <c r="S212" t="str">
        <f>IFERROR(__xludf.DUMMYFUNCTION("""COMPUTED_VALUE"""),"9 de Julio, General Alvear, Distrito Ciudad de General Alvear, Mendoza, AR")</f>
        <v>9 de Julio, General Alvear, Distrito Ciudad de General Alvear, Mendoza, AR</v>
      </c>
    </row>
    <row r="213">
      <c r="A213" s="1">
        <v>276.0</v>
      </c>
      <c r="B213" s="1" t="s">
        <v>51</v>
      </c>
      <c r="C213" s="1">
        <v>1.0</v>
      </c>
      <c r="D213" s="1" t="s">
        <v>4897</v>
      </c>
      <c r="E213" s="1" t="s">
        <v>2882</v>
      </c>
      <c r="F213" s="1" t="s">
        <v>4873</v>
      </c>
      <c r="G213" s="1" t="s">
        <v>4898</v>
      </c>
      <c r="H213" s="1" t="s">
        <v>4898</v>
      </c>
      <c r="I213" s="1" t="s">
        <v>21</v>
      </c>
      <c r="J213" s="1" t="s">
        <v>4899</v>
      </c>
      <c r="K213">
        <v>-67.69702</v>
      </c>
      <c r="L213">
        <v>-34.983771</v>
      </c>
      <c r="O213" s="1" t="s">
        <v>4900</v>
      </c>
      <c r="P213">
        <f t="shared" si="1"/>
        <v>-34.983771</v>
      </c>
      <c r="Q213">
        <f>IFERROR(__xludf.DUMMYFUNCTION("""COMPUTED_VALUE"""),-67.69702)</f>
        <v>-67.69702</v>
      </c>
      <c r="R213" t="str">
        <f>IFERROR(__xludf.DUMMYFUNCTION("""COMPUTED_VALUE"""),"Sarmiento 87, Mendoza , Argentina")</f>
        <v>Sarmiento 87, Mendoza , Argentina</v>
      </c>
      <c r="S213" t="str">
        <f>IFERROR(__xludf.DUMMYFUNCTION("""COMPUTED_VALUE"""),"Sarmiento, General Alvear, Distrito Ciudad de General Alvear, Mendoza, AR")</f>
        <v>Sarmiento, General Alvear, Distrito Ciudad de General Alvear, Mendoza, AR</v>
      </c>
    </row>
    <row r="214">
      <c r="A214" s="1">
        <v>301.0</v>
      </c>
      <c r="B214" s="1" t="s">
        <v>51</v>
      </c>
      <c r="C214" s="1">
        <v>4.0</v>
      </c>
      <c r="D214" s="1" t="s">
        <v>4901</v>
      </c>
      <c r="E214" s="1" t="s">
        <v>2882</v>
      </c>
      <c r="F214" s="1" t="s">
        <v>4873</v>
      </c>
      <c r="G214" s="1" t="s">
        <v>4902</v>
      </c>
      <c r="H214" s="1" t="s">
        <v>4902</v>
      </c>
      <c r="I214" s="1" t="s">
        <v>21</v>
      </c>
      <c r="J214" s="1" t="s">
        <v>4903</v>
      </c>
      <c r="K214">
        <v>-67.69702</v>
      </c>
      <c r="L214">
        <v>-34.983771</v>
      </c>
      <c r="O214" s="1" t="s">
        <v>4904</v>
      </c>
      <c r="P214">
        <f t="shared" si="1"/>
        <v>-34.983771</v>
      </c>
      <c r="Q214">
        <f>IFERROR(__xludf.DUMMYFUNCTION("""COMPUTED_VALUE"""),-67.69702)</f>
        <v>-67.69702</v>
      </c>
      <c r="R214" t="str">
        <f>IFERROR(__xludf.DUMMYFUNCTION("""COMPUTED_VALUE"""),"Sarmiento 282, Mendoza , Argentina")</f>
        <v>Sarmiento 282, Mendoza , Argentina</v>
      </c>
      <c r="S214" t="str">
        <f>IFERROR(__xludf.DUMMYFUNCTION("""COMPUTED_VALUE"""),"Sarmiento, General Alvear, Distrito Ciudad de General Alvear, Mendoza, AR")</f>
        <v>Sarmiento, General Alvear, Distrito Ciudad de General Alvear, Mendoza, AR</v>
      </c>
    </row>
    <row r="215">
      <c r="B215" s="1" t="s">
        <v>154</v>
      </c>
      <c r="D215" s="1" t="s">
        <v>4905</v>
      </c>
      <c r="E215" s="1" t="s">
        <v>2882</v>
      </c>
      <c r="F215" s="1" t="s">
        <v>4873</v>
      </c>
      <c r="G215" s="1" t="s">
        <v>3578</v>
      </c>
      <c r="H215" s="1" t="s">
        <v>4906</v>
      </c>
      <c r="I215" s="1" t="s">
        <v>21</v>
      </c>
      <c r="J215" s="1" t="s">
        <v>3580</v>
      </c>
      <c r="K215">
        <v>-68.344329</v>
      </c>
      <c r="L215">
        <v>-34.622738</v>
      </c>
      <c r="O215" s="1" t="s">
        <v>3581</v>
      </c>
      <c r="P215">
        <f t="shared" si="1"/>
        <v>-34.622738</v>
      </c>
      <c r="Q215">
        <f>IFERROR(__xludf.DUMMYFUNCTION("""COMPUTED_VALUE"""),-68.344329)</f>
        <v>-68.344329</v>
      </c>
      <c r="R215" t="str">
        <f>IFERROR(__xludf.DUMMYFUNCTION("""COMPUTED_VALUE"""),"Av, Sarmiento 777, Mendoza , Argentina")</f>
        <v>Av, Sarmiento 777, Mendoza , Argentina</v>
      </c>
      <c r="S215" t="str">
        <f>IFERROR(__xludf.DUMMYFUNCTION("""COMPUTED_VALUE"""),"Avenida Sarmiento 777, San Rafael, Distrito Ciudad de San Rafael, Mendoza, AR")</f>
        <v>Avenida Sarmiento 777, San Rafael, Distrito Ciudad de San Rafael, Mendoza, AR</v>
      </c>
    </row>
    <row r="216">
      <c r="A216" s="1">
        <v>355.0</v>
      </c>
      <c r="B216" s="1" t="s">
        <v>154</v>
      </c>
      <c r="C216" s="1">
        <v>4.0</v>
      </c>
      <c r="D216" s="1" t="s">
        <v>4907</v>
      </c>
      <c r="E216" s="1" t="s">
        <v>2882</v>
      </c>
      <c r="F216" s="1" t="s">
        <v>4873</v>
      </c>
      <c r="G216" s="1" t="s">
        <v>4908</v>
      </c>
      <c r="H216" s="1" t="s">
        <v>4908</v>
      </c>
      <c r="I216" s="1" t="s">
        <v>21</v>
      </c>
      <c r="J216" s="1" t="s">
        <v>4909</v>
      </c>
      <c r="K216">
        <v>-68.343625</v>
      </c>
      <c r="L216">
        <v>-34.622812</v>
      </c>
      <c r="O216" s="1" t="s">
        <v>4910</v>
      </c>
      <c r="P216">
        <f t="shared" si="1"/>
        <v>-34.622812</v>
      </c>
      <c r="Q216">
        <f>IFERROR(__xludf.DUMMYFUNCTION("""COMPUTED_VALUE"""),-68.343625)</f>
        <v>-68.343625</v>
      </c>
      <c r="R216" t="str">
        <f>IFERROR(__xludf.DUMMYFUNCTION("""COMPUTED_VALUE"""),"Av, Sarmiento 716, Mendoza , Argentina")</f>
        <v>Av, Sarmiento 716, Mendoza , Argentina</v>
      </c>
      <c r="S216" t="str">
        <f>IFERROR(__xludf.DUMMYFUNCTION("""COMPUTED_VALUE"""),"Avenida Sarmiento 716, San Rafael, Distrito Ciudad de San Rafael, Mendoza, AR")</f>
        <v>Avenida Sarmiento 716, San Rafael, Distrito Ciudad de San Rafael, Mendoza, AR</v>
      </c>
    </row>
    <row r="217">
      <c r="A217" s="1">
        <v>500.0</v>
      </c>
      <c r="B217" s="1" t="s">
        <v>109</v>
      </c>
      <c r="C217" s="1">
        <v>3.0</v>
      </c>
      <c r="D217" s="1" t="s">
        <v>4911</v>
      </c>
      <c r="E217" s="1" t="s">
        <v>2882</v>
      </c>
      <c r="F217" s="1" t="s">
        <v>4873</v>
      </c>
      <c r="G217" s="1" t="s">
        <v>4912</v>
      </c>
      <c r="H217" s="1" t="s">
        <v>4912</v>
      </c>
      <c r="I217" s="1" t="s">
        <v>21</v>
      </c>
      <c r="J217" s="1" t="s">
        <v>4913</v>
      </c>
      <c r="K217">
        <v>-68.837251</v>
      </c>
      <c r="L217">
        <v>-32.882265</v>
      </c>
      <c r="O217" s="1" t="s">
        <v>4914</v>
      </c>
      <c r="P217">
        <f t="shared" si="1"/>
        <v>-32.882265</v>
      </c>
      <c r="Q217">
        <f>IFERROR(__xludf.DUMMYFUNCTION("""COMPUTED_VALUE"""),-68.837251)</f>
        <v>-68.837251</v>
      </c>
      <c r="R217" t="str">
        <f>IFERROR(__xludf.DUMMYFUNCTION("""COMPUTED_VALUE"""),"Av, San Martín 1173, Mendoza , Argentina")</f>
        <v>Av, San Martín 1173, Mendoza , Argentina</v>
      </c>
      <c r="S217" t="str">
        <f>IFERROR(__xludf.DUMMYFUNCTION("""COMPUTED_VALUE"""),"Avenida San Martín, Ciudad de Mendoza, Sección 1ª Parque Central, Mendoza, AR")</f>
        <v>Avenida San Martín, Ciudad de Mendoza, Sección 1ª Parque Central, Mendoza, AR</v>
      </c>
    </row>
    <row r="218">
      <c r="A218" s="1">
        <v>981.0</v>
      </c>
      <c r="B218" s="1" t="s">
        <v>62</v>
      </c>
      <c r="C218" s="1">
        <v>3.0</v>
      </c>
      <c r="D218" s="1" t="s">
        <v>4915</v>
      </c>
      <c r="E218" s="1" t="s">
        <v>2882</v>
      </c>
      <c r="F218" s="1" t="s">
        <v>4873</v>
      </c>
      <c r="G218" s="1" t="s">
        <v>1258</v>
      </c>
      <c r="H218" s="1" t="s">
        <v>4916</v>
      </c>
      <c r="I218" s="1" t="s">
        <v>21</v>
      </c>
      <c r="J218" s="1" t="s">
        <v>1260</v>
      </c>
      <c r="K218">
        <v>-68.845681</v>
      </c>
      <c r="L218">
        <v>-32.894025</v>
      </c>
      <c r="O218" s="1" t="s">
        <v>4917</v>
      </c>
      <c r="P218">
        <f t="shared" si="1"/>
        <v>-32.894025</v>
      </c>
      <c r="Q218">
        <f>IFERROR(__xludf.DUMMYFUNCTION("""COMPUTED_VALUE"""),-68.845681)</f>
        <v>-68.845681</v>
      </c>
      <c r="R218" t="str">
        <f>IFERROR(__xludf.DUMMYFUNCTION("""COMPUTED_VALUE"""),"Av, Colón 215, Mendoza , Argentina")</f>
        <v>Av, Colón 215, Mendoza , Argentina</v>
      </c>
      <c r="S218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19">
      <c r="B219" s="1" t="s">
        <v>62</v>
      </c>
      <c r="C219" s="1">
        <v>7.0</v>
      </c>
      <c r="D219" s="1" t="s">
        <v>4918</v>
      </c>
      <c r="E219" s="1" t="s">
        <v>2882</v>
      </c>
      <c r="F219" s="1" t="s">
        <v>4873</v>
      </c>
      <c r="G219" s="1" t="s">
        <v>4919</v>
      </c>
      <c r="H219" s="1" t="s">
        <v>4919</v>
      </c>
      <c r="I219" s="1" t="s">
        <v>21</v>
      </c>
      <c r="J219" s="1" t="s">
        <v>4920</v>
      </c>
      <c r="K219">
        <v>-68.845681</v>
      </c>
      <c r="L219">
        <v>-32.894025</v>
      </c>
      <c r="O219" s="1" t="s">
        <v>4921</v>
      </c>
      <c r="P219">
        <f t="shared" si="1"/>
        <v>-32.894025</v>
      </c>
      <c r="Q219">
        <f>IFERROR(__xludf.DUMMYFUNCTION("""COMPUTED_VALUE"""),-68.845681)</f>
        <v>-68.845681</v>
      </c>
      <c r="R219" t="str">
        <f>IFERROR(__xludf.DUMMYFUNCTION("""COMPUTED_VALUE"""),"Av, Colón 699, Mendoza , Argentina")</f>
        <v>Av, Colón 699, Mendoza , Argentina</v>
      </c>
      <c r="S219" t="str">
        <f>IFERROR(__xludf.DUMMYFUNCTION("""COMPUTED_VALUE"""),"Avenida Colón, Ciudad de Mendoza, Sección 2ª Barrio Cívico, Mendoza, AR")</f>
        <v>Avenida Colón, Ciudad de Mendoza, Sección 2ª Barrio Cívico, Mendoza, AR</v>
      </c>
    </row>
    <row r="220">
      <c r="A220" s="1">
        <v>1029.0</v>
      </c>
      <c r="B220" s="1" t="s">
        <v>62</v>
      </c>
      <c r="C220" s="1">
        <v>9.0</v>
      </c>
      <c r="D220" s="1" t="s">
        <v>4922</v>
      </c>
      <c r="E220" s="1" t="s">
        <v>2882</v>
      </c>
      <c r="F220" s="1" t="s">
        <v>4873</v>
      </c>
      <c r="G220" s="1" t="s">
        <v>4923</v>
      </c>
      <c r="H220" s="1" t="s">
        <v>4923</v>
      </c>
      <c r="I220" s="1" t="s">
        <v>21</v>
      </c>
      <c r="J220" s="1" t="s">
        <v>4924</v>
      </c>
    </row>
    <row r="221">
      <c r="A221" s="1">
        <v>1102.0</v>
      </c>
      <c r="B221" s="1" t="s">
        <v>120</v>
      </c>
      <c r="C221" s="1">
        <v>1.0</v>
      </c>
      <c r="D221" s="1" t="s">
        <v>3641</v>
      </c>
      <c r="E221" s="1" t="s">
        <v>2882</v>
      </c>
      <c r="F221" s="1" t="s">
        <v>4873</v>
      </c>
      <c r="G221" s="1" t="s">
        <v>1689</v>
      </c>
      <c r="H221" s="1" t="s">
        <v>1689</v>
      </c>
      <c r="I221" s="1" t="s">
        <v>21</v>
      </c>
      <c r="J221" s="1" t="s">
        <v>1691</v>
      </c>
    </row>
    <row r="222">
      <c r="A222" s="1">
        <v>1154.0</v>
      </c>
      <c r="B222" s="1" t="s">
        <v>120</v>
      </c>
      <c r="C222" s="1">
        <v>5.0</v>
      </c>
      <c r="D222" s="1" t="s">
        <v>3363</v>
      </c>
      <c r="E222" s="1" t="s">
        <v>2882</v>
      </c>
      <c r="F222" s="1" t="s">
        <v>4873</v>
      </c>
      <c r="G222" s="1" t="s">
        <v>3367</v>
      </c>
      <c r="H222" s="1" t="s">
        <v>3367</v>
      </c>
      <c r="I222" s="1" t="s">
        <v>21</v>
      </c>
      <c r="J222" s="1" t="s">
        <v>4925</v>
      </c>
    </row>
    <row r="223">
      <c r="A223" s="1">
        <v>1197.0</v>
      </c>
      <c r="B223" s="1" t="s">
        <v>227</v>
      </c>
      <c r="C223" s="1">
        <v>2.0</v>
      </c>
      <c r="D223" s="1" t="s">
        <v>4926</v>
      </c>
      <c r="E223" s="1" t="s">
        <v>2882</v>
      </c>
      <c r="F223" s="1" t="s">
        <v>4873</v>
      </c>
      <c r="G223" s="1" t="s">
        <v>4927</v>
      </c>
      <c r="H223" s="1" t="s">
        <v>4928</v>
      </c>
      <c r="I223" s="1" t="s">
        <v>21</v>
      </c>
      <c r="J223" s="1" t="s">
        <v>4929</v>
      </c>
    </row>
    <row r="224">
      <c r="A224" s="1">
        <v>1518.0</v>
      </c>
      <c r="D224" s="1" t="s">
        <v>4930</v>
      </c>
      <c r="E224" s="1" t="s">
        <v>2882</v>
      </c>
      <c r="F224" s="1" t="s">
        <v>4873</v>
      </c>
      <c r="G224" s="1" t="s">
        <v>4931</v>
      </c>
      <c r="I224" s="1" t="s">
        <v>21</v>
      </c>
      <c r="J224" s="1" t="s">
        <v>4932</v>
      </c>
    </row>
    <row r="225">
      <c r="A225" s="1">
        <v>1571.0</v>
      </c>
      <c r="D225" s="1" t="s">
        <v>4933</v>
      </c>
      <c r="E225" s="1" t="s">
        <v>2882</v>
      </c>
      <c r="F225" s="1" t="s">
        <v>4873</v>
      </c>
      <c r="G225" s="1" t="s">
        <v>4934</v>
      </c>
      <c r="I225" s="1" t="s">
        <v>21</v>
      </c>
      <c r="J225" s="1" t="s">
        <v>4935</v>
      </c>
    </row>
    <row r="226">
      <c r="A226" s="1">
        <v>1589.0</v>
      </c>
      <c r="D226" s="1" t="s">
        <v>4936</v>
      </c>
      <c r="E226" s="1" t="s">
        <v>2882</v>
      </c>
      <c r="F226" s="1" t="s">
        <v>4873</v>
      </c>
      <c r="G226" s="1" t="s">
        <v>4937</v>
      </c>
      <c r="I226" s="1" t="s">
        <v>21</v>
      </c>
      <c r="J226" s="1" t="s">
        <v>4938</v>
      </c>
    </row>
    <row r="227">
      <c r="A227" s="1">
        <v>1653.0</v>
      </c>
      <c r="D227" s="1" t="s">
        <v>4939</v>
      </c>
      <c r="E227" s="1" t="s">
        <v>2882</v>
      </c>
      <c r="F227" s="1" t="s">
        <v>4873</v>
      </c>
      <c r="G227" s="1" t="s">
        <v>4940</v>
      </c>
      <c r="I227" s="1" t="s">
        <v>21</v>
      </c>
      <c r="J227" s="1" t="s">
        <v>4941</v>
      </c>
    </row>
    <row r="228">
      <c r="A228" s="1">
        <v>1681.0</v>
      </c>
      <c r="D228" s="1" t="s">
        <v>4942</v>
      </c>
      <c r="E228" s="1" t="s">
        <v>2882</v>
      </c>
      <c r="F228" s="1" t="s">
        <v>4873</v>
      </c>
      <c r="G228" s="1" t="s">
        <v>4943</v>
      </c>
      <c r="I228" s="1" t="s">
        <v>21</v>
      </c>
      <c r="J228" s="1" t="s">
        <v>4944</v>
      </c>
    </row>
    <row r="229">
      <c r="A229" s="1">
        <v>1685.0</v>
      </c>
      <c r="D229" s="1" t="s">
        <v>4945</v>
      </c>
      <c r="E229" s="1" t="s">
        <v>2882</v>
      </c>
      <c r="F229" s="1" t="s">
        <v>4873</v>
      </c>
      <c r="G229" s="1" t="s">
        <v>4946</v>
      </c>
      <c r="I229" s="1" t="s">
        <v>21</v>
      </c>
      <c r="J229" s="1" t="s">
        <v>4947</v>
      </c>
    </row>
    <row r="230">
      <c r="A230" s="1">
        <v>1686.0</v>
      </c>
      <c r="D230" s="1" t="s">
        <v>4948</v>
      </c>
      <c r="E230" s="1" t="s">
        <v>2882</v>
      </c>
      <c r="F230" s="1" t="s">
        <v>4873</v>
      </c>
      <c r="G230" s="1" t="s">
        <v>4949</v>
      </c>
      <c r="I230" s="1" t="s">
        <v>21</v>
      </c>
      <c r="J230" s="1" t="s">
        <v>4950</v>
      </c>
    </row>
    <row r="231">
      <c r="A231" s="1">
        <v>10.0</v>
      </c>
      <c r="B231" s="1" t="s">
        <v>12</v>
      </c>
      <c r="C231" s="1">
        <v>2.0</v>
      </c>
      <c r="D231" s="1" t="s">
        <v>4951</v>
      </c>
      <c r="E231" s="1" t="s">
        <v>2882</v>
      </c>
      <c r="F231" s="1" t="s">
        <v>4952</v>
      </c>
      <c r="G231" s="1" t="s">
        <v>4953</v>
      </c>
      <c r="H231" s="1" t="s">
        <v>4953</v>
      </c>
      <c r="I231" s="1" t="s">
        <v>21</v>
      </c>
      <c r="J231" s="1" t="s">
        <v>4954</v>
      </c>
    </row>
    <row r="232">
      <c r="A232" s="1">
        <v>54.0</v>
      </c>
      <c r="B232" s="1" t="s">
        <v>12</v>
      </c>
      <c r="C232" s="1">
        <v>11.0</v>
      </c>
      <c r="D232" s="1" t="s">
        <v>4955</v>
      </c>
      <c r="E232" s="1" t="s">
        <v>2882</v>
      </c>
      <c r="F232" s="1" t="s">
        <v>4952</v>
      </c>
      <c r="G232" s="1" t="s">
        <v>4956</v>
      </c>
      <c r="H232" s="1" t="s">
        <v>4956</v>
      </c>
      <c r="I232" s="1" t="s">
        <v>21</v>
      </c>
      <c r="J232" s="1" t="s">
        <v>4957</v>
      </c>
    </row>
    <row r="233">
      <c r="A233" s="1">
        <v>58.0</v>
      </c>
      <c r="B233" s="1" t="s">
        <v>12</v>
      </c>
      <c r="C233" s="1">
        <v>12.0</v>
      </c>
      <c r="D233" s="1" t="s">
        <v>4958</v>
      </c>
      <c r="E233" s="1" t="s">
        <v>2882</v>
      </c>
      <c r="F233" s="1" t="s">
        <v>4952</v>
      </c>
      <c r="G233" s="1" t="s">
        <v>4959</v>
      </c>
      <c r="H233" s="1" t="s">
        <v>4959</v>
      </c>
      <c r="I233" s="1" t="s">
        <v>21</v>
      </c>
      <c r="J233" s="1" t="s">
        <v>4960</v>
      </c>
    </row>
    <row r="234">
      <c r="A234" s="1">
        <v>69.0</v>
      </c>
      <c r="B234" s="1" t="s">
        <v>12</v>
      </c>
      <c r="C234" s="1">
        <v>13.0</v>
      </c>
      <c r="D234" s="1" t="s">
        <v>4961</v>
      </c>
      <c r="E234" s="1" t="s">
        <v>2882</v>
      </c>
      <c r="F234" s="1" t="s">
        <v>4952</v>
      </c>
      <c r="G234" s="1" t="s">
        <v>4962</v>
      </c>
      <c r="H234" s="1" t="s">
        <v>4962</v>
      </c>
      <c r="I234" s="1" t="s">
        <v>21</v>
      </c>
      <c r="J234" s="1" t="s">
        <v>4963</v>
      </c>
    </row>
    <row r="235">
      <c r="A235" s="1">
        <v>70.0</v>
      </c>
      <c r="B235" s="1" t="s">
        <v>12</v>
      </c>
      <c r="C235" s="1">
        <v>13.0</v>
      </c>
      <c r="D235" s="1" t="s">
        <v>4964</v>
      </c>
      <c r="E235" s="1" t="s">
        <v>2882</v>
      </c>
      <c r="F235" s="1" t="s">
        <v>4952</v>
      </c>
      <c r="G235" s="1" t="s">
        <v>4965</v>
      </c>
      <c r="H235" s="1" t="s">
        <v>4965</v>
      </c>
      <c r="I235" s="1" t="s">
        <v>21</v>
      </c>
      <c r="J235" s="1" t="s">
        <v>4966</v>
      </c>
    </row>
    <row r="236">
      <c r="A236" s="1">
        <v>71.0</v>
      </c>
      <c r="B236" s="1" t="s">
        <v>12</v>
      </c>
      <c r="C236" s="1">
        <v>14.0</v>
      </c>
      <c r="D236" s="1" t="s">
        <v>4967</v>
      </c>
      <c r="E236" s="1" t="s">
        <v>2882</v>
      </c>
      <c r="F236" s="1" t="s">
        <v>4952</v>
      </c>
      <c r="G236" s="1" t="s">
        <v>4968</v>
      </c>
      <c r="H236" s="1" t="s">
        <v>4968</v>
      </c>
      <c r="I236" s="1" t="s">
        <v>21</v>
      </c>
      <c r="J236" s="1" t="s">
        <v>4969</v>
      </c>
    </row>
    <row r="237">
      <c r="A237" s="1">
        <v>75.0</v>
      </c>
      <c r="B237" s="1" t="s">
        <v>12</v>
      </c>
      <c r="C237" s="1">
        <v>15.0</v>
      </c>
      <c r="D237" s="1" t="s">
        <v>4970</v>
      </c>
      <c r="E237" s="1" t="s">
        <v>2882</v>
      </c>
      <c r="F237" s="1" t="s">
        <v>4952</v>
      </c>
      <c r="G237" s="1" t="s">
        <v>4971</v>
      </c>
      <c r="H237" s="1" t="s">
        <v>4971</v>
      </c>
      <c r="I237" s="1" t="s">
        <v>21</v>
      </c>
      <c r="J237" s="1" t="s">
        <v>4972</v>
      </c>
    </row>
    <row r="238">
      <c r="A238" s="1">
        <v>81.0</v>
      </c>
      <c r="B238" s="1" t="s">
        <v>12</v>
      </c>
      <c r="C238" s="1">
        <v>15.0</v>
      </c>
      <c r="D238" s="1" t="s">
        <v>4973</v>
      </c>
      <c r="E238" s="1" t="s">
        <v>2882</v>
      </c>
      <c r="F238" s="1" t="s">
        <v>4952</v>
      </c>
      <c r="G238" s="1" t="s">
        <v>4974</v>
      </c>
      <c r="H238" s="1" t="s">
        <v>4974</v>
      </c>
      <c r="I238" s="1" t="s">
        <v>21</v>
      </c>
      <c r="J238" s="1" t="s">
        <v>4975</v>
      </c>
    </row>
    <row r="239">
      <c r="A239" s="1">
        <v>264.0</v>
      </c>
      <c r="B239" s="1" t="s">
        <v>51</v>
      </c>
      <c r="C239" s="1">
        <v>1.0</v>
      </c>
      <c r="D239" s="1" t="s">
        <v>3728</v>
      </c>
      <c r="E239" s="1" t="s">
        <v>2882</v>
      </c>
      <c r="F239" s="1" t="s">
        <v>4952</v>
      </c>
      <c r="G239" s="1" t="s">
        <v>4976</v>
      </c>
      <c r="H239" s="1" t="s">
        <v>4976</v>
      </c>
      <c r="I239" s="1" t="s">
        <v>21</v>
      </c>
      <c r="J239" s="1" t="s">
        <v>4977</v>
      </c>
    </row>
    <row r="240">
      <c r="A240" s="1">
        <v>1372.0</v>
      </c>
      <c r="D240" s="1" t="s">
        <v>4978</v>
      </c>
      <c r="E240" s="1" t="s">
        <v>2882</v>
      </c>
      <c r="F240" s="1" t="s">
        <v>4952</v>
      </c>
      <c r="G240" s="1" t="s">
        <v>4979</v>
      </c>
      <c r="I240" s="1" t="s">
        <v>21</v>
      </c>
      <c r="J240" s="1" t="s">
        <v>4980</v>
      </c>
    </row>
    <row r="241">
      <c r="A241" s="1">
        <v>1668.0</v>
      </c>
      <c r="D241" s="1" t="s">
        <v>4981</v>
      </c>
      <c r="E241" s="1" t="s">
        <v>2882</v>
      </c>
      <c r="F241" s="1" t="s">
        <v>4952</v>
      </c>
      <c r="G241" s="1" t="s">
        <v>4982</v>
      </c>
      <c r="I241" s="1" t="s">
        <v>21</v>
      </c>
      <c r="J241" s="1" t="s">
        <v>4983</v>
      </c>
    </row>
    <row r="242">
      <c r="A242" s="1">
        <v>1677.0</v>
      </c>
      <c r="D242" s="1" t="s">
        <v>4984</v>
      </c>
      <c r="E242" s="1" t="s">
        <v>2882</v>
      </c>
      <c r="F242" s="1" t="s">
        <v>4952</v>
      </c>
      <c r="G242" s="1" t="s">
        <v>4985</v>
      </c>
      <c r="I242" s="1" t="s">
        <v>21</v>
      </c>
      <c r="J242" s="1" t="s">
        <v>4986</v>
      </c>
    </row>
    <row r="243">
      <c r="A243" s="1">
        <v>1679.0</v>
      </c>
      <c r="D243" s="1" t="s">
        <v>4987</v>
      </c>
      <c r="E243" s="1" t="s">
        <v>2882</v>
      </c>
      <c r="F243" s="1" t="s">
        <v>4952</v>
      </c>
      <c r="G243" s="1" t="s">
        <v>4988</v>
      </c>
      <c r="I243" s="1" t="s">
        <v>21</v>
      </c>
      <c r="J243" s="1" t="s">
        <v>4989</v>
      </c>
    </row>
    <row r="244">
      <c r="A244" s="1">
        <v>1680.0</v>
      </c>
      <c r="D244" s="1" t="s">
        <v>4990</v>
      </c>
      <c r="E244" s="1" t="s">
        <v>2882</v>
      </c>
      <c r="F244" s="1" t="s">
        <v>4952</v>
      </c>
      <c r="G244" s="1" t="s">
        <v>4991</v>
      </c>
      <c r="I244" s="1" t="s">
        <v>21</v>
      </c>
      <c r="J244" s="1" t="s">
        <v>4992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3000</v>
      </c>
    </row>
    <row r="2">
      <c r="A2" s="1" t="s">
        <v>3001</v>
      </c>
      <c r="B2" s="1" t="s">
        <v>3003</v>
      </c>
      <c r="C2" s="1" t="s">
        <v>3004</v>
      </c>
      <c r="D2" s="1" t="s">
        <v>3003</v>
      </c>
      <c r="E2" s="1" t="s">
        <v>3006</v>
      </c>
    </row>
    <row r="3">
      <c r="A3" s="1" t="s">
        <v>3008</v>
      </c>
      <c r="B3" s="1" t="s">
        <v>3003</v>
      </c>
      <c r="C3" s="1" t="s">
        <v>3010</v>
      </c>
      <c r="D3" s="1" t="s">
        <v>3003</v>
      </c>
      <c r="E3" s="1" t="s">
        <v>3006</v>
      </c>
    </row>
    <row r="4">
      <c r="A4" s="1" t="s">
        <v>3015</v>
      </c>
      <c r="B4" s="1" t="s">
        <v>3003</v>
      </c>
      <c r="C4" s="1" t="s">
        <v>3016</v>
      </c>
      <c r="D4" s="1" t="s">
        <v>3003</v>
      </c>
      <c r="E4" s="1" t="s">
        <v>3006</v>
      </c>
    </row>
    <row r="5">
      <c r="A5" s="1" t="s">
        <v>3018</v>
      </c>
      <c r="B5" s="1" t="s">
        <v>3003</v>
      </c>
      <c r="C5" s="1" t="s">
        <v>3019</v>
      </c>
      <c r="D5" s="1" t="s">
        <v>3003</v>
      </c>
      <c r="E5" s="1" t="s">
        <v>3006</v>
      </c>
    </row>
    <row r="6">
      <c r="A6" s="1" t="s">
        <v>3021</v>
      </c>
      <c r="B6" s="1" t="s">
        <v>3003</v>
      </c>
      <c r="C6" s="1" t="s">
        <v>3023</v>
      </c>
      <c r="D6" s="1" t="s">
        <v>3003</v>
      </c>
      <c r="E6" s="1" t="s">
        <v>3006</v>
      </c>
    </row>
    <row r="7">
      <c r="A7" s="1" t="s">
        <v>3033</v>
      </c>
      <c r="B7" s="1" t="s">
        <v>3003</v>
      </c>
      <c r="C7" s="1" t="s">
        <v>3035</v>
      </c>
      <c r="D7" s="1" t="s">
        <v>3003</v>
      </c>
      <c r="E7" s="1" t="s">
        <v>3006</v>
      </c>
    </row>
    <row r="8">
      <c r="A8" s="1" t="s">
        <v>3036</v>
      </c>
      <c r="B8" s="1" t="s">
        <v>3003</v>
      </c>
      <c r="C8" s="1" t="s">
        <v>3037</v>
      </c>
      <c r="D8" s="1" t="s">
        <v>3003</v>
      </c>
      <c r="E8" s="1" t="s">
        <v>3006</v>
      </c>
    </row>
    <row r="9">
      <c r="A9" s="1" t="s">
        <v>3041</v>
      </c>
      <c r="B9" s="1" t="s">
        <v>3003</v>
      </c>
      <c r="C9" s="1" t="s">
        <v>3043</v>
      </c>
      <c r="D9" s="1" t="s">
        <v>3003</v>
      </c>
      <c r="E9" s="1" t="s">
        <v>3006</v>
      </c>
    </row>
    <row r="10">
      <c r="A10" s="1" t="s">
        <v>3047</v>
      </c>
      <c r="B10" s="1" t="s">
        <v>3003</v>
      </c>
      <c r="C10" s="1" t="s">
        <v>3049</v>
      </c>
      <c r="D10" s="1" t="s">
        <v>3003</v>
      </c>
      <c r="E10" s="1" t="s">
        <v>3006</v>
      </c>
    </row>
    <row r="11">
      <c r="A11" s="1" t="s">
        <v>3052</v>
      </c>
      <c r="B11" s="1" t="s">
        <v>3003</v>
      </c>
      <c r="C11" s="1" t="s">
        <v>3055</v>
      </c>
      <c r="D11" s="1" t="s">
        <v>3003</v>
      </c>
      <c r="E11" s="1" t="s">
        <v>3006</v>
      </c>
    </row>
    <row r="12">
      <c r="A12" s="1" t="s">
        <v>3064</v>
      </c>
      <c r="B12" s="1" t="s">
        <v>3003</v>
      </c>
      <c r="C12" s="1" t="s">
        <v>3066</v>
      </c>
      <c r="D12" s="1" t="s">
        <v>3003</v>
      </c>
      <c r="E12" s="1" t="s">
        <v>3006</v>
      </c>
    </row>
    <row r="13">
      <c r="A13" s="1" t="s">
        <v>3068</v>
      </c>
    </row>
    <row r="14">
      <c r="A14" s="1" t="s">
        <v>3070</v>
      </c>
      <c r="B14" s="1" t="s">
        <v>3003</v>
      </c>
      <c r="C14" s="1" t="s">
        <v>3072</v>
      </c>
      <c r="D14" s="1" t="s">
        <v>3003</v>
      </c>
      <c r="E14" s="1" t="s">
        <v>3006</v>
      </c>
    </row>
    <row r="15">
      <c r="A15" s="1" t="s">
        <v>3073</v>
      </c>
    </row>
    <row r="16">
      <c r="A16" s="1" t="s">
        <v>3074</v>
      </c>
      <c r="B16" s="1" t="s">
        <v>3003</v>
      </c>
      <c r="C16" s="1" t="s">
        <v>3075</v>
      </c>
      <c r="D16" s="1" t="s">
        <v>3003</v>
      </c>
      <c r="E16" s="1" t="s">
        <v>3006</v>
      </c>
    </row>
    <row r="17">
      <c r="A17" s="1" t="s">
        <v>3076</v>
      </c>
    </row>
    <row r="18">
      <c r="A18" s="1" t="s">
        <v>3077</v>
      </c>
      <c r="B18" s="1" t="s">
        <v>3003</v>
      </c>
      <c r="C18" s="1" t="s">
        <v>3078</v>
      </c>
      <c r="D18" s="1" t="s">
        <v>3003</v>
      </c>
      <c r="E18" s="1" t="s">
        <v>3006</v>
      </c>
    </row>
    <row r="19">
      <c r="A19" s="1" t="s">
        <v>3079</v>
      </c>
    </row>
    <row r="20">
      <c r="A20" s="1" t="s">
        <v>3080</v>
      </c>
      <c r="B20" s="1" t="s">
        <v>3003</v>
      </c>
      <c r="C20" s="1" t="s">
        <v>3081</v>
      </c>
      <c r="D20" s="1" t="s">
        <v>3003</v>
      </c>
      <c r="E20" s="1" t="s">
        <v>3006</v>
      </c>
    </row>
    <row r="21">
      <c r="A21" s="1" t="s">
        <v>3082</v>
      </c>
    </row>
    <row r="22">
      <c r="A22" s="1" t="s">
        <v>3083</v>
      </c>
      <c r="B22" s="1" t="s">
        <v>3003</v>
      </c>
      <c r="C22" s="1" t="s">
        <v>3084</v>
      </c>
      <c r="D22" s="1" t="s">
        <v>3003</v>
      </c>
      <c r="E22" s="1" t="s">
        <v>3006</v>
      </c>
    </row>
    <row r="23">
      <c r="A23" s="1" t="s">
        <v>3085</v>
      </c>
    </row>
    <row r="24">
      <c r="A24" s="1" t="s">
        <v>3086</v>
      </c>
      <c r="B24" s="1" t="s">
        <v>3003</v>
      </c>
      <c r="C24" s="1" t="s">
        <v>3087</v>
      </c>
      <c r="D24" s="1" t="s">
        <v>3003</v>
      </c>
      <c r="E24" s="1" t="s">
        <v>3006</v>
      </c>
    </row>
    <row r="25">
      <c r="A25" s="1" t="s">
        <v>3088</v>
      </c>
    </row>
    <row r="26">
      <c r="A26" s="1" t="s">
        <v>3089</v>
      </c>
      <c r="B26" s="1" t="s">
        <v>3003</v>
      </c>
      <c r="C26" s="1" t="s">
        <v>3090</v>
      </c>
      <c r="D26" s="1" t="s">
        <v>3003</v>
      </c>
      <c r="E26" s="1" t="s">
        <v>3006</v>
      </c>
    </row>
    <row r="27">
      <c r="A27" s="1" t="s">
        <v>3091</v>
      </c>
    </row>
    <row r="28">
      <c r="A28" s="1" t="s">
        <v>3092</v>
      </c>
      <c r="B28" s="1" t="s">
        <v>3003</v>
      </c>
      <c r="C28" s="1" t="s">
        <v>3093</v>
      </c>
      <c r="D28" s="1" t="s">
        <v>3003</v>
      </c>
      <c r="E28" s="1" t="s">
        <v>3006</v>
      </c>
    </row>
    <row r="29">
      <c r="A29" s="1" t="s">
        <v>3094</v>
      </c>
    </row>
    <row r="30">
      <c r="A30" s="1" t="s">
        <v>3095</v>
      </c>
      <c r="B30" s="1" t="s">
        <v>3003</v>
      </c>
      <c r="C30" s="1" t="s">
        <v>3096</v>
      </c>
      <c r="D30" s="1" t="s">
        <v>3003</v>
      </c>
      <c r="E30" s="1" t="s">
        <v>3006</v>
      </c>
    </row>
    <row r="31">
      <c r="A31" s="1" t="s">
        <v>3097</v>
      </c>
    </row>
    <row r="32">
      <c r="A32" s="1" t="s">
        <v>3098</v>
      </c>
      <c r="B32" s="1" t="s">
        <v>3003</v>
      </c>
      <c r="C32" s="1" t="s">
        <v>3099</v>
      </c>
      <c r="D32" s="1" t="s">
        <v>3003</v>
      </c>
      <c r="E32" s="1" t="s">
        <v>3006</v>
      </c>
    </row>
    <row r="33">
      <c r="A33" s="1" t="s">
        <v>3100</v>
      </c>
    </row>
    <row r="34">
      <c r="A34" s="1" t="s">
        <v>3101</v>
      </c>
      <c r="B34" s="1" t="s">
        <v>3003</v>
      </c>
      <c r="C34" s="1" t="s">
        <v>3102</v>
      </c>
      <c r="D34" s="1" t="s">
        <v>3003</v>
      </c>
      <c r="E34" s="1" t="s">
        <v>3006</v>
      </c>
    </row>
    <row r="35">
      <c r="A35" s="1" t="s">
        <v>3103</v>
      </c>
      <c r="B35" s="1" t="s">
        <v>3003</v>
      </c>
      <c r="C35" s="1" t="s">
        <v>3104</v>
      </c>
      <c r="D35" s="1" t="s">
        <v>3003</v>
      </c>
      <c r="E35" s="1" t="s">
        <v>3006</v>
      </c>
    </row>
    <row r="36">
      <c r="A36" s="1" t="s">
        <v>3105</v>
      </c>
      <c r="B36" s="1" t="s">
        <v>3003</v>
      </c>
      <c r="C36" s="1" t="s">
        <v>3106</v>
      </c>
      <c r="D36" s="1" t="s">
        <v>3003</v>
      </c>
      <c r="E36" s="1" t="s">
        <v>3006</v>
      </c>
    </row>
    <row r="37">
      <c r="A37" s="1" t="s">
        <v>3107</v>
      </c>
      <c r="B37" s="1" t="s">
        <v>3003</v>
      </c>
      <c r="C37" s="1" t="s">
        <v>3108</v>
      </c>
      <c r="D37" s="1" t="s">
        <v>3003</v>
      </c>
      <c r="E37" s="1" t="s">
        <v>3006</v>
      </c>
    </row>
    <row r="38">
      <c r="A38" s="1" t="s">
        <v>3109</v>
      </c>
      <c r="B38" s="1" t="s">
        <v>3003</v>
      </c>
      <c r="C38" s="1" t="s">
        <v>3110</v>
      </c>
      <c r="D38" s="1" t="s">
        <v>3003</v>
      </c>
      <c r="E38" s="1" t="s">
        <v>3006</v>
      </c>
    </row>
    <row r="39">
      <c r="A39" s="1" t="s">
        <v>3111</v>
      </c>
      <c r="B39" s="1" t="s">
        <v>3003</v>
      </c>
      <c r="C39" s="1" t="s">
        <v>3112</v>
      </c>
      <c r="D39" s="1" t="s">
        <v>3003</v>
      </c>
      <c r="E39" s="1" t="s">
        <v>3006</v>
      </c>
    </row>
    <row r="40">
      <c r="A40" s="1" t="s">
        <v>3113</v>
      </c>
      <c r="B40" s="1" t="s">
        <v>3003</v>
      </c>
      <c r="C40" s="1" t="s">
        <v>3114</v>
      </c>
      <c r="D40" s="1" t="s">
        <v>3003</v>
      </c>
      <c r="E40" s="1" t="s">
        <v>3006</v>
      </c>
    </row>
    <row r="41">
      <c r="A41" s="1" t="s">
        <v>3115</v>
      </c>
      <c r="B41" s="1" t="s">
        <v>3003</v>
      </c>
      <c r="C41" s="1" t="s">
        <v>3016</v>
      </c>
      <c r="D41" s="1" t="s">
        <v>3003</v>
      </c>
      <c r="E41" s="1" t="s">
        <v>3006</v>
      </c>
    </row>
    <row r="42">
      <c r="A42" s="1" t="s">
        <v>3116</v>
      </c>
      <c r="B42" s="1" t="s">
        <v>3003</v>
      </c>
      <c r="C42" s="1" t="s">
        <v>3117</v>
      </c>
      <c r="D42" s="1" t="s">
        <v>3003</v>
      </c>
      <c r="E42" s="1" t="s">
        <v>3006</v>
      </c>
    </row>
    <row r="43">
      <c r="A43" s="1" t="s">
        <v>3118</v>
      </c>
      <c r="B43" s="1" t="s">
        <v>3003</v>
      </c>
      <c r="C43" s="1" t="s">
        <v>3119</v>
      </c>
      <c r="D43" s="1" t="s">
        <v>3003</v>
      </c>
      <c r="E43" s="1" t="s">
        <v>3006</v>
      </c>
    </row>
    <row r="44">
      <c r="A44" s="1" t="s">
        <v>3120</v>
      </c>
      <c r="B44" s="1" t="s">
        <v>3003</v>
      </c>
      <c r="C44" s="1" t="s">
        <v>3121</v>
      </c>
      <c r="D44" s="1" t="s">
        <v>3003</v>
      </c>
      <c r="E44" s="1" t="s">
        <v>3006</v>
      </c>
    </row>
    <row r="45">
      <c r="A45" s="1" t="s">
        <v>3122</v>
      </c>
    </row>
    <row r="46">
      <c r="A46" s="1" t="s">
        <v>3123</v>
      </c>
      <c r="B46" s="1" t="s">
        <v>3003</v>
      </c>
      <c r="C46" s="1" t="s">
        <v>3124</v>
      </c>
      <c r="D46" s="1" t="s">
        <v>3003</v>
      </c>
      <c r="E46" s="1" t="s">
        <v>3006</v>
      </c>
    </row>
    <row r="47">
      <c r="A47" s="1" t="s">
        <v>3125</v>
      </c>
    </row>
    <row r="48">
      <c r="A48" s="1" t="s">
        <v>3126</v>
      </c>
      <c r="B48" s="1" t="s">
        <v>3003</v>
      </c>
      <c r="C48" s="1" t="s">
        <v>3127</v>
      </c>
      <c r="D48" s="1" t="s">
        <v>3003</v>
      </c>
      <c r="E48" s="1" t="s">
        <v>3006</v>
      </c>
    </row>
    <row r="49">
      <c r="A49" s="1" t="s">
        <v>3128</v>
      </c>
      <c r="B49" s="1" t="s">
        <v>3003</v>
      </c>
      <c r="C49" s="1" t="s">
        <v>3129</v>
      </c>
      <c r="D49" s="1" t="s">
        <v>3003</v>
      </c>
      <c r="E49" s="1" t="s">
        <v>3006</v>
      </c>
    </row>
    <row r="50">
      <c r="A50" s="1" t="s">
        <v>3130</v>
      </c>
      <c r="B50" s="1" t="s">
        <v>3003</v>
      </c>
      <c r="C50" s="1" t="s">
        <v>3131</v>
      </c>
      <c r="D50" s="1" t="s">
        <v>3003</v>
      </c>
      <c r="E50" s="1" t="s">
        <v>3006</v>
      </c>
    </row>
    <row r="51">
      <c r="A51" s="1" t="s">
        <v>3132</v>
      </c>
      <c r="B51" s="1" t="s">
        <v>3003</v>
      </c>
      <c r="C51" s="1" t="s">
        <v>3133</v>
      </c>
      <c r="D51" s="1" t="s">
        <v>3003</v>
      </c>
      <c r="E51" s="1" t="s">
        <v>3006</v>
      </c>
    </row>
    <row r="52">
      <c r="A52" s="1" t="s">
        <v>3134</v>
      </c>
      <c r="B52" s="1" t="s">
        <v>3003</v>
      </c>
      <c r="C52" s="1" t="s">
        <v>3135</v>
      </c>
      <c r="D52" s="1" t="s">
        <v>3003</v>
      </c>
      <c r="E52" s="1" t="s">
        <v>3006</v>
      </c>
    </row>
    <row r="53">
      <c r="A53" s="1" t="s">
        <v>3136</v>
      </c>
      <c r="B53" s="1" t="s">
        <v>3003</v>
      </c>
      <c r="C53" s="1" t="s">
        <v>3137</v>
      </c>
      <c r="D53" s="1" t="s">
        <v>3003</v>
      </c>
      <c r="E53" s="1" t="s">
        <v>3006</v>
      </c>
    </row>
    <row r="54">
      <c r="A54" s="1" t="s">
        <v>3138</v>
      </c>
      <c r="B54" s="1" t="s">
        <v>3003</v>
      </c>
      <c r="C54" s="1" t="s">
        <v>3139</v>
      </c>
      <c r="D54" s="1" t="s">
        <v>3003</v>
      </c>
      <c r="E54" s="1" t="s">
        <v>3006</v>
      </c>
    </row>
    <row r="55">
      <c r="A55" s="1" t="s">
        <v>3141</v>
      </c>
    </row>
    <row r="56">
      <c r="A56" s="1" t="s">
        <v>3143</v>
      </c>
      <c r="B56" s="1" t="s">
        <v>3003</v>
      </c>
      <c r="C56" s="1" t="s">
        <v>3144</v>
      </c>
      <c r="D56" s="1" t="s">
        <v>3003</v>
      </c>
      <c r="E56" s="1" t="s">
        <v>3006</v>
      </c>
    </row>
    <row r="57">
      <c r="A57" s="1" t="s">
        <v>3145</v>
      </c>
    </row>
    <row r="58">
      <c r="A58" s="1" t="s">
        <v>3146</v>
      </c>
      <c r="B58" s="1" t="s">
        <v>3003</v>
      </c>
      <c r="C58" s="1" t="s">
        <v>3147</v>
      </c>
      <c r="D58" s="1" t="s">
        <v>3003</v>
      </c>
      <c r="E58" s="1" t="s">
        <v>3006</v>
      </c>
    </row>
    <row r="59">
      <c r="A59" s="1" t="s">
        <v>3148</v>
      </c>
      <c r="B59" s="1" t="s">
        <v>3003</v>
      </c>
      <c r="C59" s="1" t="s">
        <v>3150</v>
      </c>
      <c r="D59" s="1" t="s">
        <v>3003</v>
      </c>
      <c r="E59" s="1" t="s">
        <v>3006</v>
      </c>
    </row>
    <row r="60">
      <c r="A60" s="1" t="s">
        <v>3152</v>
      </c>
      <c r="B60" s="1" t="s">
        <v>3003</v>
      </c>
      <c r="C60" s="1" t="s">
        <v>3153</v>
      </c>
      <c r="D60" s="1" t="s">
        <v>3003</v>
      </c>
      <c r="E60" s="1" t="s">
        <v>3006</v>
      </c>
    </row>
    <row r="61">
      <c r="A61" s="1" t="s">
        <v>3156</v>
      </c>
      <c r="B61" s="1" t="s">
        <v>3003</v>
      </c>
      <c r="C61" s="1" t="s">
        <v>3157</v>
      </c>
      <c r="D61" s="1" t="s">
        <v>3003</v>
      </c>
      <c r="E61" s="1" t="s">
        <v>3006</v>
      </c>
    </row>
    <row r="62">
      <c r="A62" s="1" t="s">
        <v>3159</v>
      </c>
      <c r="B62" s="1" t="s">
        <v>3003</v>
      </c>
      <c r="C62" s="1" t="s">
        <v>3160</v>
      </c>
      <c r="D62" s="1" t="s">
        <v>3003</v>
      </c>
      <c r="E62" s="1" t="s">
        <v>3006</v>
      </c>
    </row>
    <row r="63">
      <c r="A63" s="1" t="s">
        <v>3162</v>
      </c>
      <c r="B63" s="1" t="s">
        <v>3003</v>
      </c>
      <c r="C63" s="1" t="s">
        <v>3164</v>
      </c>
      <c r="D63" s="1" t="s">
        <v>3003</v>
      </c>
      <c r="E63" s="1" t="s">
        <v>3006</v>
      </c>
    </row>
    <row r="64">
      <c r="A64" s="1" t="s">
        <v>3165</v>
      </c>
    </row>
    <row r="65">
      <c r="A65" s="1" t="s">
        <v>3166</v>
      </c>
      <c r="B65" s="1" t="s">
        <v>3003</v>
      </c>
      <c r="C65" s="1" t="s">
        <v>3168</v>
      </c>
      <c r="D65" s="1" t="s">
        <v>3003</v>
      </c>
      <c r="E65" s="1" t="s">
        <v>3006</v>
      </c>
    </row>
    <row r="66">
      <c r="A66" s="1" t="s">
        <v>3170</v>
      </c>
      <c r="B66" s="1" t="s">
        <v>3003</v>
      </c>
      <c r="C66" s="1" t="s">
        <v>3171</v>
      </c>
      <c r="D66" s="1" t="s">
        <v>3003</v>
      </c>
      <c r="E66" s="1" t="s">
        <v>3006</v>
      </c>
    </row>
    <row r="67">
      <c r="A67" s="1" t="s">
        <v>3172</v>
      </c>
      <c r="B67" s="1" t="s">
        <v>3003</v>
      </c>
      <c r="C67" s="1" t="s">
        <v>3173</v>
      </c>
      <c r="D67" s="1" t="s">
        <v>3003</v>
      </c>
      <c r="E67" s="1" t="s">
        <v>3006</v>
      </c>
    </row>
    <row r="68">
      <c r="A68" s="1" t="s">
        <v>3175</v>
      </c>
      <c r="B68" s="1" t="s">
        <v>3003</v>
      </c>
      <c r="C68" s="1" t="s">
        <v>3176</v>
      </c>
      <c r="D68" s="1" t="s">
        <v>3003</v>
      </c>
      <c r="E68" s="1" t="s">
        <v>3006</v>
      </c>
    </row>
    <row r="69">
      <c r="A69" s="1" t="s">
        <v>3177</v>
      </c>
      <c r="B69" s="1" t="s">
        <v>3003</v>
      </c>
      <c r="C69" s="1" t="s">
        <v>3178</v>
      </c>
      <c r="D69" s="1" t="s">
        <v>3003</v>
      </c>
      <c r="E69" s="1" t="s">
        <v>3006</v>
      </c>
    </row>
    <row r="70">
      <c r="A70" s="1" t="s">
        <v>3179</v>
      </c>
      <c r="B70" s="1" t="s">
        <v>3003</v>
      </c>
      <c r="C70" s="1" t="s">
        <v>3180</v>
      </c>
      <c r="D70" s="1" t="s">
        <v>3003</v>
      </c>
      <c r="E70" s="1" t="s">
        <v>3006</v>
      </c>
    </row>
    <row r="71">
      <c r="A71" s="1" t="s">
        <v>3182</v>
      </c>
      <c r="B71" s="1" t="s">
        <v>3003</v>
      </c>
      <c r="C71" s="1" t="s">
        <v>3183</v>
      </c>
      <c r="D71" s="1" t="s">
        <v>3003</v>
      </c>
      <c r="E71" s="1" t="s">
        <v>3006</v>
      </c>
    </row>
    <row r="72">
      <c r="A72" s="1" t="s">
        <v>3187</v>
      </c>
      <c r="B72" s="1" t="s">
        <v>3003</v>
      </c>
      <c r="C72" s="1" t="s">
        <v>3189</v>
      </c>
      <c r="D72" s="1" t="s">
        <v>3003</v>
      </c>
      <c r="E72" s="1" t="s">
        <v>3006</v>
      </c>
    </row>
    <row r="73">
      <c r="A73" s="1" t="s">
        <v>3192</v>
      </c>
      <c r="B73" s="1" t="s">
        <v>3003</v>
      </c>
      <c r="C73" s="1" t="s">
        <v>3193</v>
      </c>
      <c r="D73" s="1" t="s">
        <v>3003</v>
      </c>
      <c r="E73" s="1" t="s">
        <v>3006</v>
      </c>
    </row>
    <row r="74">
      <c r="A74" s="1" t="s">
        <v>3194</v>
      </c>
      <c r="B74" s="1" t="s">
        <v>3003</v>
      </c>
      <c r="C74" s="1" t="s">
        <v>3195</v>
      </c>
      <c r="D74" s="1" t="s">
        <v>3003</v>
      </c>
      <c r="E74" s="1" t="s">
        <v>3006</v>
      </c>
    </row>
    <row r="75">
      <c r="A75" s="1" t="s">
        <v>3196</v>
      </c>
      <c r="B75" s="1" t="s">
        <v>3003</v>
      </c>
      <c r="C75" s="1" t="s">
        <v>3197</v>
      </c>
      <c r="D75" s="1" t="s">
        <v>3003</v>
      </c>
      <c r="E75" s="1" t="s">
        <v>3006</v>
      </c>
    </row>
    <row r="76">
      <c r="A76" s="1" t="s">
        <v>3198</v>
      </c>
      <c r="B76" s="1" t="s">
        <v>3003</v>
      </c>
      <c r="C76" s="1" t="s">
        <v>3199</v>
      </c>
      <c r="D76" s="1" t="s">
        <v>3003</v>
      </c>
      <c r="E76" s="1" t="s">
        <v>3006</v>
      </c>
    </row>
    <row r="77">
      <c r="A77" s="1" t="s">
        <v>3200</v>
      </c>
      <c r="B77" s="1" t="s">
        <v>3003</v>
      </c>
      <c r="C77" s="1" t="s">
        <v>3201</v>
      </c>
      <c r="D77" s="1" t="s">
        <v>3003</v>
      </c>
      <c r="E77" s="1" t="s">
        <v>3006</v>
      </c>
    </row>
    <row r="78">
      <c r="A78" s="1" t="s">
        <v>3203</v>
      </c>
      <c r="B78" s="1" t="s">
        <v>3003</v>
      </c>
      <c r="C78" s="1" t="s">
        <v>3204</v>
      </c>
      <c r="D78" s="1" t="s">
        <v>3003</v>
      </c>
      <c r="E78" s="1" t="s">
        <v>3006</v>
      </c>
    </row>
    <row r="79">
      <c r="A79" s="1" t="s">
        <v>3207</v>
      </c>
      <c r="B79" s="1" t="s">
        <v>3003</v>
      </c>
      <c r="C79" s="1" t="s">
        <v>3208</v>
      </c>
      <c r="D79" s="1" t="s">
        <v>3003</v>
      </c>
      <c r="E79" s="1" t="s">
        <v>3006</v>
      </c>
    </row>
    <row r="80">
      <c r="A80" s="1" t="s">
        <v>3209</v>
      </c>
      <c r="B80" s="1" t="s">
        <v>3003</v>
      </c>
      <c r="C80" s="1" t="s">
        <v>3210</v>
      </c>
      <c r="D80" s="1" t="s">
        <v>3003</v>
      </c>
      <c r="E80" s="1" t="s">
        <v>3006</v>
      </c>
    </row>
    <row r="81">
      <c r="A81" s="1" t="s">
        <v>3212</v>
      </c>
      <c r="B81" s="1" t="s">
        <v>3003</v>
      </c>
      <c r="C81" s="1" t="s">
        <v>3213</v>
      </c>
      <c r="D81" s="1" t="s">
        <v>3003</v>
      </c>
      <c r="E81" s="1" t="s">
        <v>3006</v>
      </c>
    </row>
    <row r="82">
      <c r="A82" s="1" t="s">
        <v>3214</v>
      </c>
      <c r="B82" s="1" t="s">
        <v>3003</v>
      </c>
      <c r="C82" s="1" t="s">
        <v>3215</v>
      </c>
      <c r="D82" s="1" t="s">
        <v>3003</v>
      </c>
      <c r="E82" s="1" t="s">
        <v>3006</v>
      </c>
    </row>
    <row r="83">
      <c r="A83" s="1" t="s">
        <v>3217</v>
      </c>
      <c r="B83" s="1" t="s">
        <v>3003</v>
      </c>
      <c r="C83" s="1" t="s">
        <v>3218</v>
      </c>
      <c r="D83" s="1" t="s">
        <v>3003</v>
      </c>
      <c r="E83" s="1" t="s">
        <v>3006</v>
      </c>
    </row>
    <row r="84">
      <c r="A84" s="1" t="s">
        <v>3221</v>
      </c>
      <c r="B84" s="1" t="s">
        <v>3003</v>
      </c>
      <c r="C84" s="1" t="s">
        <v>3222</v>
      </c>
      <c r="D84" s="1" t="s">
        <v>3003</v>
      </c>
      <c r="E84" s="1" t="s">
        <v>3006</v>
      </c>
    </row>
    <row r="85">
      <c r="A85" s="1" t="s">
        <v>3226</v>
      </c>
      <c r="B85" s="1" t="s">
        <v>3003</v>
      </c>
      <c r="C85" s="1" t="s">
        <v>3227</v>
      </c>
      <c r="D85" s="1" t="s">
        <v>3003</v>
      </c>
      <c r="E85" s="1" t="s">
        <v>3006</v>
      </c>
    </row>
    <row r="86">
      <c r="A86" s="1" t="s">
        <v>3228</v>
      </c>
      <c r="B86" s="1" t="s">
        <v>3003</v>
      </c>
      <c r="C86" s="1" t="s">
        <v>3229</v>
      </c>
      <c r="D86" s="1" t="s">
        <v>3003</v>
      </c>
      <c r="E86" s="1" t="s">
        <v>3006</v>
      </c>
    </row>
    <row r="87">
      <c r="A87" s="1" t="s">
        <v>3230</v>
      </c>
      <c r="B87" s="1" t="s">
        <v>3003</v>
      </c>
      <c r="C87" s="1" t="s">
        <v>3231</v>
      </c>
      <c r="D87" s="1" t="s">
        <v>3003</v>
      </c>
      <c r="E87" s="1" t="s">
        <v>3006</v>
      </c>
    </row>
    <row r="88">
      <c r="A88" s="1" t="s">
        <v>3233</v>
      </c>
      <c r="B88" s="1" t="s">
        <v>3003</v>
      </c>
      <c r="C88" s="1" t="s">
        <v>3234</v>
      </c>
      <c r="D88" s="1" t="s">
        <v>3003</v>
      </c>
      <c r="E88" s="1" t="s">
        <v>3006</v>
      </c>
    </row>
    <row r="89">
      <c r="A89" s="1" t="s">
        <v>3235</v>
      </c>
      <c r="B89" s="1" t="s">
        <v>3003</v>
      </c>
      <c r="C89" s="1" t="s">
        <v>3236</v>
      </c>
      <c r="D89" s="1" t="s">
        <v>3003</v>
      </c>
      <c r="E89" s="1" t="s">
        <v>3006</v>
      </c>
    </row>
    <row r="90">
      <c r="A90" s="1" t="s">
        <v>3239</v>
      </c>
      <c r="B90" s="1" t="s">
        <v>3003</v>
      </c>
      <c r="C90" s="1" t="s">
        <v>3241</v>
      </c>
      <c r="D90" s="1" t="s">
        <v>3003</v>
      </c>
      <c r="E90" s="1" t="s">
        <v>3006</v>
      </c>
    </row>
    <row r="91">
      <c r="A91" s="1" t="s">
        <v>3242</v>
      </c>
      <c r="B91" s="1" t="s">
        <v>3003</v>
      </c>
      <c r="C91" s="1" t="s">
        <v>3243</v>
      </c>
      <c r="D91" s="1" t="s">
        <v>3003</v>
      </c>
      <c r="E91" s="1" t="s">
        <v>3006</v>
      </c>
    </row>
    <row r="92">
      <c r="A92" s="1" t="s">
        <v>3244</v>
      </c>
      <c r="B92" s="1" t="s">
        <v>3003</v>
      </c>
      <c r="C92" s="1" t="s">
        <v>3245</v>
      </c>
      <c r="D92" s="1" t="s">
        <v>3003</v>
      </c>
      <c r="E92" s="1" t="s">
        <v>3006</v>
      </c>
    </row>
    <row r="93">
      <c r="A93" s="1" t="s">
        <v>3246</v>
      </c>
      <c r="B93" s="1" t="s">
        <v>3003</v>
      </c>
      <c r="C93" s="1" t="s">
        <v>3247</v>
      </c>
      <c r="D93" s="1" t="s">
        <v>3003</v>
      </c>
      <c r="E93" s="1" t="s">
        <v>3006</v>
      </c>
    </row>
    <row r="94">
      <c r="A94" s="1" t="s">
        <v>3249</v>
      </c>
      <c r="B94" s="1" t="s">
        <v>3003</v>
      </c>
      <c r="C94" s="1" t="s">
        <v>3251</v>
      </c>
      <c r="D94" s="1" t="s">
        <v>3003</v>
      </c>
      <c r="E94" s="1" t="s">
        <v>3006</v>
      </c>
    </row>
    <row r="95">
      <c r="A95" s="1" t="s">
        <v>3252</v>
      </c>
      <c r="B95" s="1" t="s">
        <v>3003</v>
      </c>
      <c r="C95" s="1" t="s">
        <v>3253</v>
      </c>
      <c r="D95" s="1" t="s">
        <v>3003</v>
      </c>
      <c r="E95" s="1" t="s">
        <v>3006</v>
      </c>
    </row>
    <row r="96">
      <c r="A96" s="1" t="s">
        <v>3254</v>
      </c>
      <c r="B96" s="1" t="s">
        <v>3003</v>
      </c>
      <c r="C96" s="1" t="s">
        <v>3255</v>
      </c>
      <c r="D96" s="1" t="s">
        <v>3003</v>
      </c>
      <c r="E96" s="1" t="s">
        <v>3006</v>
      </c>
    </row>
    <row r="97">
      <c r="A97" s="1" t="s">
        <v>3256</v>
      </c>
      <c r="B97" s="1" t="s">
        <v>3003</v>
      </c>
      <c r="C97" s="1" t="s">
        <v>3257</v>
      </c>
      <c r="D97" s="1" t="s">
        <v>3003</v>
      </c>
      <c r="E97" s="1" t="s">
        <v>3006</v>
      </c>
    </row>
    <row r="98">
      <c r="A98" s="1" t="s">
        <v>3258</v>
      </c>
      <c r="B98" s="1" t="s">
        <v>3003</v>
      </c>
      <c r="C98" s="1" t="s">
        <v>3259</v>
      </c>
      <c r="D98" s="1" t="s">
        <v>3003</v>
      </c>
      <c r="E98" s="1" t="s">
        <v>3006</v>
      </c>
    </row>
    <row r="99">
      <c r="A99" s="1" t="s">
        <v>3260</v>
      </c>
      <c r="B99" s="1" t="s">
        <v>3003</v>
      </c>
      <c r="C99" s="1" t="s">
        <v>3261</v>
      </c>
      <c r="D99" s="1" t="s">
        <v>3003</v>
      </c>
      <c r="E99" s="1" t="s">
        <v>3006</v>
      </c>
    </row>
    <row r="100">
      <c r="A100" s="1" t="s">
        <v>3262</v>
      </c>
      <c r="B100" s="1" t="s">
        <v>3003</v>
      </c>
      <c r="C100" s="1" t="s">
        <v>3263</v>
      </c>
      <c r="D100" s="1" t="s">
        <v>3003</v>
      </c>
      <c r="E100" s="1" t="s">
        <v>3006</v>
      </c>
    </row>
    <row r="101">
      <c r="A101" s="1" t="s">
        <v>3264</v>
      </c>
      <c r="B101" s="1" t="s">
        <v>3003</v>
      </c>
      <c r="C101" s="1" t="s">
        <v>3265</v>
      </c>
      <c r="D101" s="1" t="s">
        <v>3003</v>
      </c>
      <c r="E101" s="1" t="s">
        <v>3006</v>
      </c>
    </row>
    <row r="102">
      <c r="A102" s="1" t="s">
        <v>3266</v>
      </c>
      <c r="B102" s="1" t="s">
        <v>3003</v>
      </c>
      <c r="C102" s="1" t="s">
        <v>3267</v>
      </c>
      <c r="D102" s="1" t="s">
        <v>3003</v>
      </c>
      <c r="E102" s="1" t="s">
        <v>3006</v>
      </c>
    </row>
    <row r="103">
      <c r="A103" s="1" t="s">
        <v>3268</v>
      </c>
      <c r="B103" s="1" t="s">
        <v>3003</v>
      </c>
      <c r="C103" s="1" t="s">
        <v>3269</v>
      </c>
      <c r="D103" s="1" t="s">
        <v>3003</v>
      </c>
      <c r="E103" s="1" t="s">
        <v>3006</v>
      </c>
    </row>
    <row r="104">
      <c r="A104" s="1" t="s">
        <v>3270</v>
      </c>
      <c r="B104" s="1" t="s">
        <v>3003</v>
      </c>
      <c r="C104" s="1" t="s">
        <v>3271</v>
      </c>
      <c r="D104" s="1" t="s">
        <v>3003</v>
      </c>
      <c r="E104" s="1" t="s">
        <v>3006</v>
      </c>
    </row>
    <row r="105">
      <c r="A105" s="1" t="s">
        <v>3272</v>
      </c>
      <c r="B105" s="1" t="s">
        <v>3003</v>
      </c>
      <c r="C105" s="1" t="s">
        <v>3273</v>
      </c>
      <c r="D105" s="1" t="s">
        <v>3003</v>
      </c>
      <c r="E105" s="1" t="s">
        <v>3006</v>
      </c>
    </row>
    <row r="106">
      <c r="A106" s="1" t="s">
        <v>3274</v>
      </c>
      <c r="B106" s="1" t="s">
        <v>3003</v>
      </c>
      <c r="C106" s="1" t="s">
        <v>3275</v>
      </c>
      <c r="D106" s="1" t="s">
        <v>3003</v>
      </c>
      <c r="E106" s="1" t="s">
        <v>3006</v>
      </c>
    </row>
    <row r="107">
      <c r="A107" s="1" t="s">
        <v>3278</v>
      </c>
      <c r="B107" s="1" t="s">
        <v>3003</v>
      </c>
      <c r="C107" s="1" t="s">
        <v>3279</v>
      </c>
      <c r="D107" s="1" t="s">
        <v>3003</v>
      </c>
      <c r="E107" s="1" t="s">
        <v>3006</v>
      </c>
    </row>
    <row r="108">
      <c r="A108" s="1" t="s">
        <v>3281</v>
      </c>
      <c r="B108" s="1" t="s">
        <v>3003</v>
      </c>
      <c r="C108" s="1" t="s">
        <v>3282</v>
      </c>
      <c r="D108" s="1" t="s">
        <v>3003</v>
      </c>
      <c r="E108" s="1" t="s">
        <v>3006</v>
      </c>
    </row>
    <row r="109">
      <c r="A109" s="1" t="s">
        <v>3284</v>
      </c>
      <c r="B109" s="1" t="s">
        <v>3003</v>
      </c>
      <c r="C109" s="1" t="s">
        <v>3286</v>
      </c>
      <c r="D109" s="1" t="s">
        <v>3003</v>
      </c>
      <c r="E109" s="1" t="s">
        <v>3006</v>
      </c>
    </row>
    <row r="110">
      <c r="A110" s="1" t="s">
        <v>3288</v>
      </c>
      <c r="B110" s="1" t="s">
        <v>3003</v>
      </c>
      <c r="C110" s="1" t="s">
        <v>3289</v>
      </c>
      <c r="D110" s="1" t="s">
        <v>3003</v>
      </c>
      <c r="E110" s="1" t="s">
        <v>3006</v>
      </c>
    </row>
    <row r="111">
      <c r="A111" s="1" t="s">
        <v>3291</v>
      </c>
      <c r="B111" s="1" t="s">
        <v>3003</v>
      </c>
      <c r="C111" s="1" t="s">
        <v>3293</v>
      </c>
      <c r="D111" s="1" t="s">
        <v>3003</v>
      </c>
      <c r="E111" s="1" t="s">
        <v>3006</v>
      </c>
    </row>
    <row r="112">
      <c r="A112" s="1" t="s">
        <v>3295</v>
      </c>
      <c r="B112" s="1" t="s">
        <v>3003</v>
      </c>
      <c r="C112" s="1" t="s">
        <v>3296</v>
      </c>
      <c r="D112" s="1" t="s">
        <v>3003</v>
      </c>
      <c r="E112" s="1" t="s">
        <v>3006</v>
      </c>
    </row>
    <row r="113">
      <c r="A113" s="1" t="s">
        <v>3298</v>
      </c>
      <c r="B113" s="1" t="s">
        <v>3003</v>
      </c>
      <c r="C113" s="1" t="s">
        <v>3299</v>
      </c>
      <c r="D113" s="1" t="s">
        <v>3003</v>
      </c>
      <c r="E113" s="1" t="s">
        <v>3006</v>
      </c>
    </row>
    <row r="114">
      <c r="A114" s="1" t="s">
        <v>3301</v>
      </c>
      <c r="B114" s="1" t="s">
        <v>3003</v>
      </c>
      <c r="C114" s="1" t="s">
        <v>3303</v>
      </c>
      <c r="D114" s="1" t="s">
        <v>3003</v>
      </c>
      <c r="E114" s="1" t="s">
        <v>3006</v>
      </c>
    </row>
    <row r="115">
      <c r="A115" s="1" t="s">
        <v>3306</v>
      </c>
      <c r="B115" s="1" t="s">
        <v>3003</v>
      </c>
      <c r="C115" s="1" t="s">
        <v>3308</v>
      </c>
      <c r="D115" s="1" t="s">
        <v>3003</v>
      </c>
      <c r="E115" s="1" t="s">
        <v>3006</v>
      </c>
    </row>
    <row r="116">
      <c r="A116" s="1" t="s">
        <v>3309</v>
      </c>
      <c r="B116" s="1" t="s">
        <v>3003</v>
      </c>
      <c r="C116" s="1" t="s">
        <v>3310</v>
      </c>
      <c r="D116" s="1" t="s">
        <v>3003</v>
      </c>
      <c r="E116" s="1" t="s">
        <v>3006</v>
      </c>
    </row>
    <row r="117">
      <c r="A117" s="1" t="s">
        <v>3312</v>
      </c>
      <c r="B117" s="1" t="s">
        <v>3003</v>
      </c>
      <c r="C117" s="1" t="s">
        <v>3313</v>
      </c>
      <c r="D117" s="1" t="s">
        <v>3003</v>
      </c>
      <c r="E117" s="1" t="s">
        <v>3006</v>
      </c>
    </row>
    <row r="118">
      <c r="A118" s="1" t="s">
        <v>3315</v>
      </c>
    </row>
    <row r="119">
      <c r="A119" s="1" t="s">
        <v>3316</v>
      </c>
      <c r="B119" s="1" t="s">
        <v>3003</v>
      </c>
      <c r="C119" s="1" t="s">
        <v>3317</v>
      </c>
      <c r="D119" s="1" t="s">
        <v>3003</v>
      </c>
      <c r="E119" s="1" t="s">
        <v>3006</v>
      </c>
    </row>
    <row r="120">
      <c r="A120" s="1" t="s">
        <v>3320</v>
      </c>
    </row>
    <row r="121">
      <c r="A121" s="1" t="s">
        <v>3322</v>
      </c>
      <c r="B121" s="1" t="s">
        <v>3003</v>
      </c>
      <c r="C121" s="1" t="s">
        <v>3324</v>
      </c>
      <c r="D121" s="1" t="s">
        <v>3003</v>
      </c>
      <c r="E121" s="1" t="s">
        <v>3006</v>
      </c>
    </row>
    <row r="122">
      <c r="A122" s="1" t="s">
        <v>3327</v>
      </c>
    </row>
    <row r="123">
      <c r="A123" s="1" t="s">
        <v>3328</v>
      </c>
      <c r="B123" s="1" t="s">
        <v>3003</v>
      </c>
      <c r="C123" s="1" t="s">
        <v>3329</v>
      </c>
      <c r="D123" s="1" t="s">
        <v>3003</v>
      </c>
      <c r="E123" s="1" t="s">
        <v>3006</v>
      </c>
    </row>
    <row r="124">
      <c r="A124" s="1" t="s">
        <v>3330</v>
      </c>
    </row>
    <row r="125">
      <c r="A125" s="1" t="s">
        <v>3331</v>
      </c>
      <c r="B125" s="1" t="s">
        <v>3003</v>
      </c>
      <c r="C125" s="1" t="s">
        <v>3333</v>
      </c>
      <c r="D125" s="1" t="s">
        <v>3003</v>
      </c>
      <c r="E125" s="1" t="s">
        <v>3006</v>
      </c>
    </row>
    <row r="126">
      <c r="A126" s="1" t="s">
        <v>3335</v>
      </c>
    </row>
    <row r="127">
      <c r="A127" s="1" t="s">
        <v>3338</v>
      </c>
      <c r="B127" s="1" t="s">
        <v>3003</v>
      </c>
      <c r="C127" s="1" t="s">
        <v>3340</v>
      </c>
      <c r="D127" s="1" t="s">
        <v>3003</v>
      </c>
      <c r="E127" s="1" t="s">
        <v>3006</v>
      </c>
    </row>
    <row r="128">
      <c r="A128" s="1" t="s">
        <v>3344</v>
      </c>
    </row>
    <row r="129">
      <c r="A129" s="1" t="s">
        <v>3346</v>
      </c>
      <c r="B129" s="1" t="s">
        <v>3003</v>
      </c>
      <c r="C129" s="1" t="s">
        <v>3347</v>
      </c>
      <c r="D129" s="1" t="s">
        <v>3003</v>
      </c>
      <c r="E129" s="1" t="s">
        <v>3006</v>
      </c>
    </row>
    <row r="130">
      <c r="A130" s="1" t="s">
        <v>3348</v>
      </c>
    </row>
    <row r="131">
      <c r="A131" s="1" t="s">
        <v>3349</v>
      </c>
      <c r="B131" s="1" t="s">
        <v>3003</v>
      </c>
      <c r="C131" s="1" t="s">
        <v>3351</v>
      </c>
      <c r="D131" s="1" t="s">
        <v>3003</v>
      </c>
      <c r="E131" s="1" t="s">
        <v>3006</v>
      </c>
    </row>
    <row r="132">
      <c r="A132" s="1" t="s">
        <v>3353</v>
      </c>
    </row>
    <row r="133">
      <c r="A133" s="1" t="s">
        <v>3356</v>
      </c>
      <c r="B133" s="1" t="s">
        <v>3003</v>
      </c>
      <c r="C133" s="1" t="s">
        <v>3357</v>
      </c>
      <c r="D133" s="1" t="s">
        <v>3003</v>
      </c>
      <c r="E133" s="1" t="s">
        <v>3006</v>
      </c>
    </row>
    <row r="134">
      <c r="A134" s="1" t="s">
        <v>3361</v>
      </c>
      <c r="B134" s="1" t="s">
        <v>3003</v>
      </c>
      <c r="C134" s="1" t="s">
        <v>3362</v>
      </c>
      <c r="D134" s="1" t="s">
        <v>3003</v>
      </c>
      <c r="E134" s="1" t="s">
        <v>3006</v>
      </c>
    </row>
    <row r="135">
      <c r="A135" s="1" t="s">
        <v>3364</v>
      </c>
      <c r="B135" s="1" t="s">
        <v>3003</v>
      </c>
      <c r="C135" s="1" t="s">
        <v>3365</v>
      </c>
      <c r="D135" s="1" t="s">
        <v>3003</v>
      </c>
      <c r="E135" s="1" t="s">
        <v>3006</v>
      </c>
    </row>
    <row r="136">
      <c r="A136" s="1" t="s">
        <v>3369</v>
      </c>
      <c r="B136" s="1" t="s">
        <v>3003</v>
      </c>
      <c r="C136" s="1" t="s">
        <v>3370</v>
      </c>
      <c r="D136" s="1" t="s">
        <v>3003</v>
      </c>
      <c r="E136" s="1" t="s">
        <v>3006</v>
      </c>
    </row>
    <row r="137">
      <c r="A137" s="1" t="s">
        <v>3371</v>
      </c>
      <c r="B137" s="1" t="s">
        <v>3003</v>
      </c>
      <c r="C137" s="1" t="s">
        <v>3372</v>
      </c>
      <c r="D137" s="1" t="s">
        <v>3003</v>
      </c>
      <c r="E137" s="1" t="s">
        <v>3006</v>
      </c>
    </row>
    <row r="138">
      <c r="A138" s="1" t="s">
        <v>3374</v>
      </c>
      <c r="B138" s="1" t="s">
        <v>3003</v>
      </c>
      <c r="C138" s="1" t="s">
        <v>3375</v>
      </c>
      <c r="D138" s="1" t="s">
        <v>3003</v>
      </c>
      <c r="E138" s="1" t="s">
        <v>3006</v>
      </c>
    </row>
    <row r="139">
      <c r="A139" s="1" t="s">
        <v>3376</v>
      </c>
      <c r="B139" s="1" t="s">
        <v>3003</v>
      </c>
      <c r="C139" s="1" t="s">
        <v>3377</v>
      </c>
      <c r="D139" s="1" t="s">
        <v>3003</v>
      </c>
      <c r="E139" s="1" t="s">
        <v>3006</v>
      </c>
    </row>
    <row r="140">
      <c r="A140" s="1" t="s">
        <v>3378</v>
      </c>
      <c r="B140" s="1" t="s">
        <v>3003</v>
      </c>
      <c r="C140" s="1" t="s">
        <v>3379</v>
      </c>
      <c r="D140" s="1" t="s">
        <v>3003</v>
      </c>
      <c r="E140" s="1" t="s">
        <v>3006</v>
      </c>
    </row>
    <row r="141">
      <c r="A141" s="1" t="s">
        <v>3380</v>
      </c>
      <c r="B141" s="1" t="s">
        <v>3003</v>
      </c>
      <c r="C141" s="1" t="s">
        <v>3382</v>
      </c>
      <c r="D141" s="1" t="s">
        <v>3003</v>
      </c>
      <c r="E141" s="1" t="s">
        <v>3006</v>
      </c>
    </row>
    <row r="142">
      <c r="A142" s="1" t="s">
        <v>3384</v>
      </c>
      <c r="B142" s="1" t="s">
        <v>3003</v>
      </c>
      <c r="C142" s="1" t="s">
        <v>3385</v>
      </c>
      <c r="D142" s="1" t="s">
        <v>3003</v>
      </c>
      <c r="E142" s="1" t="s">
        <v>3006</v>
      </c>
    </row>
    <row r="143">
      <c r="A143" s="1" t="s">
        <v>3388</v>
      </c>
      <c r="B143" s="1" t="s">
        <v>3003</v>
      </c>
      <c r="C143" s="1" t="s">
        <v>3390</v>
      </c>
      <c r="D143" s="1" t="s">
        <v>3003</v>
      </c>
      <c r="E143" s="1" t="s">
        <v>3006</v>
      </c>
    </row>
    <row r="144">
      <c r="A144" s="1" t="s">
        <v>3392</v>
      </c>
      <c r="B144" s="1" t="s">
        <v>3003</v>
      </c>
      <c r="C144" s="1" t="s">
        <v>3393</v>
      </c>
      <c r="D144" s="1" t="s">
        <v>3003</v>
      </c>
      <c r="E144" s="1" t="s">
        <v>3006</v>
      </c>
    </row>
    <row r="145">
      <c r="A145" s="1" t="s">
        <v>3394</v>
      </c>
      <c r="B145" s="1" t="s">
        <v>3003</v>
      </c>
      <c r="C145" s="1" t="s">
        <v>3395</v>
      </c>
      <c r="D145" s="1" t="s">
        <v>3003</v>
      </c>
      <c r="E145" s="1" t="s">
        <v>3006</v>
      </c>
    </row>
    <row r="146">
      <c r="A146" s="1" t="s">
        <v>3397</v>
      </c>
    </row>
    <row r="147">
      <c r="A147" s="1" t="s">
        <v>3398</v>
      </c>
      <c r="B147" s="1" t="s">
        <v>3003</v>
      </c>
      <c r="C147" s="1" t="s">
        <v>3399</v>
      </c>
      <c r="D147" s="1" t="s">
        <v>3003</v>
      </c>
      <c r="E147" s="1" t="s">
        <v>3006</v>
      </c>
    </row>
    <row r="148">
      <c r="A148" s="1" t="s">
        <v>3401</v>
      </c>
    </row>
    <row r="149">
      <c r="A149" s="1" t="s">
        <v>3406</v>
      </c>
      <c r="B149" s="1" t="s">
        <v>3003</v>
      </c>
      <c r="C149" s="1" t="s">
        <v>3408</v>
      </c>
      <c r="D149" s="1" t="s">
        <v>3003</v>
      </c>
      <c r="E149" s="1" t="s">
        <v>3006</v>
      </c>
    </row>
    <row r="150">
      <c r="A150" s="1" t="s">
        <v>3411</v>
      </c>
    </row>
    <row r="151">
      <c r="A151" s="1" t="s">
        <v>3412</v>
      </c>
      <c r="B151" s="1" t="s">
        <v>3003</v>
      </c>
      <c r="C151" s="1" t="s">
        <v>3413</v>
      </c>
      <c r="D151" s="1" t="s">
        <v>3003</v>
      </c>
      <c r="E151" s="1" t="s">
        <v>3006</v>
      </c>
    </row>
    <row r="152">
      <c r="A152" s="1" t="s">
        <v>3415</v>
      </c>
    </row>
    <row r="153">
      <c r="A153" s="1" t="s">
        <v>3417</v>
      </c>
      <c r="B153" s="1" t="s">
        <v>3003</v>
      </c>
      <c r="C153" s="1" t="s">
        <v>3419</v>
      </c>
      <c r="D153" s="1" t="s">
        <v>3003</v>
      </c>
      <c r="E153" s="1" t="s">
        <v>3006</v>
      </c>
    </row>
    <row r="154">
      <c r="A154" s="1" t="s">
        <v>3424</v>
      </c>
    </row>
    <row r="155">
      <c r="A155" s="1" t="s">
        <v>3427</v>
      </c>
      <c r="B155" s="1" t="s">
        <v>3003</v>
      </c>
      <c r="C155" s="1" t="s">
        <v>3429</v>
      </c>
      <c r="D155" s="1" t="s">
        <v>3003</v>
      </c>
      <c r="E155" s="1" t="s">
        <v>3006</v>
      </c>
    </row>
    <row r="156">
      <c r="A156" s="1" t="s">
        <v>3433</v>
      </c>
    </row>
    <row r="157">
      <c r="A157" s="1" t="s">
        <v>3434</v>
      </c>
      <c r="B157" s="1" t="s">
        <v>3003</v>
      </c>
      <c r="C157" s="1" t="s">
        <v>3436</v>
      </c>
      <c r="D157" s="1" t="s">
        <v>3003</v>
      </c>
      <c r="E157" s="1" t="s">
        <v>3006</v>
      </c>
    </row>
    <row r="158">
      <c r="A158" s="1" t="s">
        <v>3440</v>
      </c>
    </row>
    <row r="159">
      <c r="A159" s="1" t="s">
        <v>3441</v>
      </c>
      <c r="B159" s="1" t="s">
        <v>3003</v>
      </c>
      <c r="C159" s="1" t="s">
        <v>3442</v>
      </c>
      <c r="D159" s="1" t="s">
        <v>3003</v>
      </c>
      <c r="E159" s="1" t="s">
        <v>3006</v>
      </c>
    </row>
    <row r="160">
      <c r="A160" s="1" t="s">
        <v>3444</v>
      </c>
    </row>
    <row r="161">
      <c r="A161" s="1" t="s">
        <v>3446</v>
      </c>
      <c r="B161" s="1" t="s">
        <v>3003</v>
      </c>
      <c r="C161" s="1" t="s">
        <v>3447</v>
      </c>
      <c r="D161" s="1" t="s">
        <v>3003</v>
      </c>
      <c r="E161" s="1" t="s">
        <v>3006</v>
      </c>
    </row>
    <row r="162">
      <c r="A162" s="1" t="s">
        <v>3450</v>
      </c>
    </row>
    <row r="163">
      <c r="A163" s="1" t="s">
        <v>3452</v>
      </c>
      <c r="B163" s="1" t="s">
        <v>3003</v>
      </c>
      <c r="C163" s="1" t="s">
        <v>3454</v>
      </c>
      <c r="D163" s="1" t="s">
        <v>3003</v>
      </c>
      <c r="E163" s="1" t="s">
        <v>3006</v>
      </c>
    </row>
    <row r="164">
      <c r="A164" s="1" t="s">
        <v>3456</v>
      </c>
    </row>
    <row r="165">
      <c r="A165" s="1" t="s">
        <v>3459</v>
      </c>
      <c r="B165" s="1" t="s">
        <v>3003</v>
      </c>
      <c r="C165" s="1" t="s">
        <v>3460</v>
      </c>
      <c r="D165" s="1" t="s">
        <v>3003</v>
      </c>
      <c r="E165" s="1" t="s">
        <v>3006</v>
      </c>
    </row>
    <row r="166">
      <c r="A166" s="1" t="s">
        <v>3462</v>
      </c>
    </row>
    <row r="167">
      <c r="A167" s="1" t="s">
        <v>3463</v>
      </c>
      <c r="B167" s="1" t="s">
        <v>3003</v>
      </c>
      <c r="C167" s="1" t="s">
        <v>3464</v>
      </c>
      <c r="D167" s="1" t="s">
        <v>3003</v>
      </c>
      <c r="E167" s="1" t="s">
        <v>3006</v>
      </c>
    </row>
    <row r="168">
      <c r="A168" s="1" t="s">
        <v>3465</v>
      </c>
    </row>
    <row r="169">
      <c r="A169" s="1" t="s">
        <v>3467</v>
      </c>
      <c r="B169" s="1" t="s">
        <v>3003</v>
      </c>
      <c r="C169" s="1" t="s">
        <v>3468</v>
      </c>
      <c r="D169" s="1" t="s">
        <v>3003</v>
      </c>
      <c r="E169" s="1" t="s">
        <v>3006</v>
      </c>
    </row>
    <row r="170">
      <c r="A170" s="1" t="s">
        <v>3470</v>
      </c>
    </row>
    <row r="171">
      <c r="A171" s="1" t="s">
        <v>3472</v>
      </c>
      <c r="B171" s="1" t="s">
        <v>3003</v>
      </c>
      <c r="C171" s="1" t="s">
        <v>3474</v>
      </c>
      <c r="D171" s="1" t="s">
        <v>3003</v>
      </c>
      <c r="E171" s="1" t="s">
        <v>3006</v>
      </c>
    </row>
    <row r="172">
      <c r="A172" s="1" t="s">
        <v>3477</v>
      </c>
    </row>
    <row r="173">
      <c r="A173" s="1" t="s">
        <v>3480</v>
      </c>
      <c r="B173" s="1" t="s">
        <v>3003</v>
      </c>
      <c r="C173" s="1" t="s">
        <v>3482</v>
      </c>
      <c r="D173" s="1" t="s">
        <v>3003</v>
      </c>
      <c r="E173" s="1" t="s">
        <v>3006</v>
      </c>
    </row>
  </sheetData>
  <drawing r:id="rId1"/>
</worksheet>
</file>